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Djurs a.m.b.a. (V198)\ØR2022\"/>
    </mc:Choice>
  </mc:AlternateContent>
  <workbookProtection workbookAlgorithmName="SHA-512" workbookHashValue="ooPoCBbqMykPYQbPyVWAJihZPzXel1BDNVpwTpNUB9YuZ4dU7sbZoz1e3UYW8Rgx/3wBoYZQH2HMW+b0kzRo9Q==" workbookSaltValue="1NdxFvFxaw8OQOFsYBRMoA==" workbookSpinCount="100000" lockStructure="1"/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C12" i="37" l="1"/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E11" i="21"/>
  <c r="E12" i="21" s="1"/>
  <c r="C11" i="21"/>
  <c r="C12" i="21" s="1"/>
  <c r="E11" i="29"/>
  <c r="E12" i="29" s="1"/>
  <c r="C13" i="37" l="1"/>
  <c r="C12" i="2" s="1"/>
  <c r="C15" i="19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l="1"/>
  <c r="E13" i="37" s="1"/>
  <c r="C13" i="2" s="1"/>
  <c r="G37" i="36" s="1"/>
  <c r="G38" i="36" s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<sst xmlns="http://schemas.openxmlformats.org/spreadsheetml/2006/main" count="620" uniqueCount="254">
  <si>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</si>
  <si>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</si>
  <si>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</si>
  <si>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</si>
  <si>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</si>
  <si>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</si>
  <si>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</si>
  <si>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</si>
  <si>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</si>
  <si>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</si>
  <si>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</si>
  <si>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</si>
  <si>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</si>
  <si>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</si>
  <si>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</si>
  <si>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</si>
  <si>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</si>
  <si>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</si>
  <si>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</si>
  <si>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</si>
  <si>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</si>
  <si>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</si>
  <si>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</si>
  <si>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</si>
  <si>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</si>
  <si>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</si>
  <si>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</si>
  <si>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</si>
  <si>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</si>
  <si>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</si>
  <si>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</si>
  <si>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</si>
  <si>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</si>
  <si>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</si>
  <si>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</si>
  <si>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</si>
  <si>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</si>
  <si>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</si>
  <si>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</si>
  <si>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</si>
  <si>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</si>
  <si>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</si>
  <si>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</si>
  <si>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</si>
  <si>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</si>
  <si>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</si>
  <si>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</si>
  <si>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</si>
  <si>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</si>
  <si>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</si>
  <si>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</si>
  <si>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</si>
  <si>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</si>
  <si>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</si>
  <si>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</si>
  <si>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</si>
  <si>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</si>
  <si>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</si>
  <si>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</si>
  <si>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</si>
  <si>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</si>
  <si>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</si>
  <si>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</si>
  <si>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</si>
  <si>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</si>
  <si>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</si>
  <si>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</si>
  <si>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</si>
  <si>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</si>
  <si>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</si>
  <si>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</si>
  <si>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</si>
  <si>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</si>
  <si>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</si>
  <si>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</si>
  <si>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</si>
  <si>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</si>
  <si>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</si>
  <si>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</si>
  <si>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</si>
  <si>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</si>
  <si>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</si>
  <si>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</si>
  <si>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</si>
  <si>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</si>
  <si>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</si>
  <si>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</si>
  <si>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</si>
  <si>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</si>
  <si>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</si>
  <si>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</si>
  <si>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</si>
  <si>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</si>
  <si>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</si>
  <si>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</si>
  <si>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</si>
  <si>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</si>
  <si>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</si>
  <si>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</si>
  <si>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</si>
  <si>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</si>
  <si>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</si>
  <si>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</si>
  <si>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</si>
  <si>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</si>
  <si>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</si>
  <si>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</si>
  <si>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</si>
  <si>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</si>
  <si>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</si>
  <si>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</si>
  <si>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</si>
  <si>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</si>
  <si>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</si>
  <si>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</si>
  <si>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</si>
  <si>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</si>
  <si>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</si>
  <si>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</si>
  <si>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</si>
  <si>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</si>
  <si>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</si>
  <si>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</si>
  <si>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</si>
  <si>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</si>
  <si>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</si>
  <si>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</si>
  <si>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</si>
  <si>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</si>
  <si>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</si>
  <si>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</si>
  <si>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</si>
  <si>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</si>
  <si>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</si>
  <si>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</si>
  <si>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</si>
  <si>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</si>
  <si>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</si>
  <si>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</si>
  <si>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</si>
  <si>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</si>
  <si>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</si>
  <si>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</si>
  <si>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</si>
  <si>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</si>
  <si>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</si>
  <si>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</si>
  <si>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</si>
  <si>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</si>
  <si>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</si>
  <si>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</si>
  <si>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</si>
  <si>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</si>
  <si>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</si>
  <si>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</si>
  <si>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</si>
  <si>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</si>
  <si>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</si>
  <si>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</si>
  <si>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</si>
  <si>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</si>
  <si>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</si>
  <si>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</si>
  <si>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</si>
  <si>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</si>
  <si>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</si>
  <si>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</si>
  <si>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</si>
  <si>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</si>
  <si>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</si>
  <si>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</si>
  <si>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</si>
  <si>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</si>
  <si>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</si>
  <si>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</si>
  <si>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</si>
  <si>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</si>
  <si>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</si>
  <si>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</si>
  <si>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</si>
  <si>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</si>
  <si>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</si>
  <si>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</si>
  <si>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</si>
  <si>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</si>
  <si>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</si>
  <si>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</si>
  <si>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</si>
  <si>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</si>
  <si>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</si>
  <si>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</si>
  <si>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</si>
  <si>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</si>
  <si>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</si>
  <si>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</si>
  <si>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</si>
  <si>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</si>
  <si>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</si>
  <si>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</si>
  <si>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</si>
  <si>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</si>
  <si>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</si>
  <si>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</si>
  <si>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</si>
  <si>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</si>
  <si>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</si>
  <si>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</si>
  <si>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</si>
  <si>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</si>
  <si>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</si>
  <si>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</si>
  <si>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</si>
  <si>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</si>
  <si>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</si>
  <si>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</si>
  <si>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</si>
  <si>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</si>
  <si>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</si>
  <si>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</si>
  <si>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</si>
  <si>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</si>
  <si>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</si>
  <si>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</si>
  <si>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</si>
  <si>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</si>
  <si>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</si>
  <si>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</si>
  <si>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</si>
  <si>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</si>
  <si>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</si>
  <si>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Frivillige aftaler om dyrkningspraksis eller andre restriktioner i arealanvendelse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</si>
  <si>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</si>
  <si>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</si>
  <si>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</si>
  <si>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</si>
  <si>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</si>
  <si>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</si>
  <si>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</si>
  <si>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</si>
  <si>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</si>
  <si>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</si>
  <si>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</si>
  <si>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</si>
  <si>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</si>
  <si>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</si>
  <si>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</si>
  <si>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</si>
  <si>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</si>
  <si>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</si>
  <si>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</si>
  <si>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</si>
  <si>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</si>
  <si>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</si>
  <si>
    <t>Nye tilslutninger og ledning Anholt Havn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</si>
</sst>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252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181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/Rt4UF9JR4+nR9mtb5tCBpJ3zTVWEohNm9AH8xTmk6UrDHJ9l5FVlAPIy56lzg6BM9AVE96+DGuvupZcLj64Q==" saltValue="rKuoq/2fETAHLhhHtVrVC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202</v>
      </c>
      <c r="C8" s="115"/>
      <c r="D8" s="116"/>
      <c r="E8" s="1"/>
      <c r="F8" s="1"/>
    </row>
    <row r="9" spans="1:6" ht="15" customHeight="1" x14ac:dyDescent="0.25">
      <c r="A9" s="1"/>
      <c r="B9" s="50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5" t="s">
        <v>227</v>
      </c>
      <c r="C10" s="9">
        <v>8923000</v>
      </c>
      <c r="D10" s="14" t="s">
        <v>3</v>
      </c>
      <c r="E10" s="1"/>
      <c r="F10" s="1"/>
    </row>
    <row r="11" spans="1:6" x14ac:dyDescent="0.25">
      <c r="A11" s="1"/>
      <c r="B11" s="65" t="s">
        <v>228</v>
      </c>
      <c r="C11" s="9">
        <v>64546</v>
      </c>
      <c r="D11" s="14" t="s">
        <v>3</v>
      </c>
      <c r="E11" s="1"/>
      <c r="F11" s="1"/>
    </row>
    <row r="12" spans="1:6" x14ac:dyDescent="0.25">
      <c r="A12" s="1"/>
      <c r="B12" s="65" t="s">
        <v>229</v>
      </c>
      <c r="C12" s="9">
        <v>30146</v>
      </c>
      <c r="D12" s="14" t="s">
        <v>3</v>
      </c>
      <c r="E12" s="1"/>
      <c r="F12" s="1"/>
    </row>
    <row r="13" spans="1:6" x14ac:dyDescent="0.25">
      <c r="A13" s="1"/>
      <c r="B13" s="65" t="s">
        <v>230</v>
      </c>
      <c r="C13" s="9">
        <v>519945</v>
      </c>
      <c r="D13" s="14" t="s">
        <v>3</v>
      </c>
      <c r="E13" s="1"/>
      <c r="F13" s="1"/>
    </row>
    <row r="14" spans="1:6" x14ac:dyDescent="0.25">
      <c r="A14" s="1"/>
      <c r="B14" s="53" t="s">
        <v>204</v>
      </c>
      <c r="C14" s="12">
        <f>SUM(C10:C13)</f>
        <v>9537637</v>
      </c>
      <c r="D14" s="13" t="s">
        <v>3</v>
      </c>
      <c r="E14" s="1"/>
      <c r="F14" s="1"/>
    </row>
    <row r="15" spans="1:6" x14ac:dyDescent="0.25">
      <c r="A15" s="1"/>
      <c r="B15" s="53" t="s">
        <v>205</v>
      </c>
      <c r="C15" s="12">
        <f>C14*(1+'Fane 12. Nøgletal'!C14)^2</f>
        <v>9600689.2690669317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DKQ6LJPCQtKaM47TSeyRLidQMm92gRW6Vya/+r5fZ8Tgp6VSnI0IyNEONQ/0E4i9/SKBME3NUD8WhXTZKV4LWA==" saltValue="wK/vPzRYBkP8TXF5oFya4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220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57"/>
      <c r="C5" s="57"/>
      <c r="D5" s="57"/>
      <c r="E5" s="57"/>
      <c r="F5" s="57"/>
      <c r="G5" s="1"/>
    </row>
    <row r="6" spans="1:7" ht="15" customHeight="1" x14ac:dyDescent="0.25">
      <c r="A6" s="1"/>
      <c r="B6" s="57"/>
      <c r="C6" s="57"/>
      <c r="D6" s="57"/>
      <c r="E6" s="57"/>
      <c r="F6" s="5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232</v>
      </c>
      <c r="C8" s="115"/>
      <c r="D8" s="115"/>
      <c r="E8" s="115"/>
      <c r="F8" s="116"/>
      <c r="G8" s="1"/>
    </row>
    <row r="9" spans="1:7" x14ac:dyDescent="0.25">
      <c r="A9" s="1"/>
      <c r="B9" s="111" t="s">
        <v>233</v>
      </c>
      <c r="C9" s="112"/>
      <c r="D9" s="113"/>
      <c r="E9" s="9">
        <v>4538688.5162006505</v>
      </c>
      <c r="F9" s="14" t="s">
        <v>3</v>
      </c>
      <c r="G9" s="1"/>
    </row>
    <row r="10" spans="1:7" x14ac:dyDescent="0.25">
      <c r="A10" s="1"/>
      <c r="B10" s="111" t="s">
        <v>234</v>
      </c>
      <c r="C10" s="112"/>
      <c r="D10" s="113"/>
      <c r="E10" s="9">
        <v>-106734.09355441108</v>
      </c>
      <c r="F10" s="14" t="s">
        <v>3</v>
      </c>
      <c r="G10" s="1"/>
    </row>
    <row r="11" spans="1:7" x14ac:dyDescent="0.25">
      <c r="A11" s="1"/>
      <c r="B11" s="111" t="s">
        <v>235</v>
      </c>
      <c r="C11" s="112"/>
      <c r="D11" s="113"/>
      <c r="E11" s="9">
        <v>3779781.708279416</v>
      </c>
      <c r="F11" s="14" t="s">
        <v>3</v>
      </c>
      <c r="G11" s="1"/>
    </row>
    <row r="12" spans="1:7" x14ac:dyDescent="0.25">
      <c r="A12" s="1"/>
      <c r="B12" s="111" t="s">
        <v>236</v>
      </c>
      <c r="C12" s="112"/>
      <c r="D12" s="113"/>
      <c r="E12" s="9">
        <f>IF(OR(AND(E10&gt;0,E11&lt;0),AND(E11&lt;0,E34&gt;0)),E17+E18,E11)</f>
        <v>3779781.708279416</v>
      </c>
      <c r="F12" s="14" t="s">
        <v>3</v>
      </c>
      <c r="G12" s="1"/>
    </row>
    <row r="13" spans="1:7" x14ac:dyDescent="0.25">
      <c r="A13" s="1"/>
      <c r="B13" s="53"/>
      <c r="C13" s="54"/>
      <c r="D13" s="54"/>
      <c r="E13" s="54"/>
      <c r="F13" s="20"/>
      <c r="G13" s="1"/>
    </row>
    <row r="14" spans="1:7" ht="54.75" customHeight="1" x14ac:dyDescent="0.25">
      <c r="A14" s="1"/>
      <c r="B14" s="90" t="s">
        <v>237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238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239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111" t="s">
        <v>240</v>
      </c>
      <c r="C18" s="112"/>
      <c r="D18" s="113"/>
      <c r="E18" s="9">
        <v>0</v>
      </c>
      <c r="F18" s="14" t="s">
        <v>3</v>
      </c>
      <c r="G18" s="1"/>
    </row>
    <row r="19" spans="1:7" x14ac:dyDescent="0.25">
      <c r="A19" s="1"/>
      <c r="B19" s="53"/>
      <c r="C19" s="54"/>
      <c r="D19" s="54"/>
      <c r="E19" s="54"/>
      <c r="F19" s="20"/>
      <c r="G19" s="1"/>
    </row>
    <row r="20" spans="1:7" ht="30" customHeight="1" x14ac:dyDescent="0.25">
      <c r="A20" s="1"/>
      <c r="B20" s="90" t="s">
        <v>241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2" t="s">
        <v>206</v>
      </c>
      <c r="C22" s="63"/>
      <c r="D22" s="63"/>
      <c r="E22" s="63"/>
      <c r="F22" s="64"/>
      <c r="G22" s="1"/>
    </row>
    <row r="23" spans="1:7" x14ac:dyDescent="0.25">
      <c r="A23" s="1"/>
      <c r="B23" s="59" t="s">
        <v>207</v>
      </c>
      <c r="C23" s="60"/>
      <c r="D23" s="61"/>
      <c r="E23" s="9">
        <v>24320130.13089437</v>
      </c>
      <c r="F23" s="14" t="s">
        <v>3</v>
      </c>
      <c r="G23" s="1"/>
    </row>
    <row r="24" spans="1:7" x14ac:dyDescent="0.25">
      <c r="A24" s="1"/>
      <c r="B24" s="59" t="s">
        <v>208</v>
      </c>
      <c r="C24" s="60"/>
      <c r="D24" s="61"/>
      <c r="E24" s="9">
        <v>21652000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6" t="s">
        <v>249</v>
      </c>
      <c r="C26" s="67"/>
      <c r="D26" s="68"/>
      <c r="E26" s="45">
        <f>E23-(E24-E25)</f>
        <v>2668130.1308943704</v>
      </c>
      <c r="F26" s="17" t="s">
        <v>3</v>
      </c>
      <c r="G26" s="1"/>
    </row>
    <row r="27" spans="1:7" x14ac:dyDescent="0.25">
      <c r="A27" s="1"/>
      <c r="B27" s="53"/>
      <c r="C27" s="54"/>
      <c r="D27" s="54"/>
      <c r="E27" s="54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242</v>
      </c>
      <c r="C29" s="115"/>
      <c r="D29" s="115"/>
      <c r="E29" s="115"/>
      <c r="F29" s="116"/>
      <c r="G29" s="1"/>
    </row>
    <row r="30" spans="1:7" x14ac:dyDescent="0.25">
      <c r="A30" s="1"/>
      <c r="B30" s="135" t="s">
        <v>243</v>
      </c>
      <c r="C30" s="136"/>
      <c r="D30" s="137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244</v>
      </c>
      <c r="C33" s="115"/>
      <c r="D33" s="115"/>
      <c r="E33" s="115"/>
      <c r="F33" s="116"/>
      <c r="G33" s="1"/>
    </row>
    <row r="34" spans="1:7" x14ac:dyDescent="0.25">
      <c r="A34" s="1"/>
      <c r="B34" s="129" t="s">
        <v>250</v>
      </c>
      <c r="C34" s="130"/>
      <c r="D34" s="131"/>
      <c r="E34" s="9">
        <v>1</v>
      </c>
      <c r="F34" s="14"/>
      <c r="G34" s="1"/>
    </row>
    <row r="35" spans="1:7" x14ac:dyDescent="0.25">
      <c r="A35" s="1"/>
      <c r="B35" s="129" t="s">
        <v>161</v>
      </c>
      <c r="C35" s="130"/>
      <c r="D35" s="131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29" t="s">
        <v>110</v>
      </c>
      <c r="C36" s="130"/>
      <c r="D36" s="131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32"/>
      <c r="C38" s="133"/>
      <c r="D38" s="133"/>
      <c r="E38" s="133"/>
      <c r="F38" s="134"/>
      <c r="G38" s="1"/>
    </row>
    <row r="39" spans="1:7" ht="75" customHeight="1" x14ac:dyDescent="0.25">
      <c r="A39" s="1"/>
      <c r="B39" s="90" t="s">
        <v>248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KIcMX/OXSBiOxtIfZCfADOjvWziIhiIQ94vwKBNd784sST6bHRW7aYIklxId7bTUOw/1mDkyjvNAxoW3vsO8g==" saltValue="e0FZeb3ePhJiF/+BgDtaVA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6"/>
      <c r="I9" s="1"/>
    </row>
    <row r="10" spans="1:9" x14ac:dyDescent="0.25">
      <c r="A10" s="1"/>
      <c r="B10" s="46" t="s">
        <v>251</v>
      </c>
      <c r="C10" s="47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G6YM80Ne8QRDY06GH10NUzh7HXXT6WkoAVBiT+VtDzdwk2qbtqlEhV+iQof6jZlen/mRdIK9tDTktUgB9Z45w==" saltValue="2TDe+KzzGB6ANa2giQ+78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3" t="s">
        <v>84</v>
      </c>
      <c r="C8" s="54"/>
      <c r="D8" s="54"/>
      <c r="E8" s="54"/>
      <c r="F8" s="20"/>
      <c r="G8" s="1"/>
    </row>
    <row r="9" spans="1:7" ht="17.25" customHeight="1" x14ac:dyDescent="0.25">
      <c r="A9" s="1"/>
      <c r="B9" s="51" t="s">
        <v>16</v>
      </c>
      <c r="C9" s="51" t="s">
        <v>11</v>
      </c>
      <c r="D9" s="52"/>
      <c r="E9" s="51" t="s">
        <v>32</v>
      </c>
      <c r="F9" s="56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253</v>
      </c>
      <c r="C11" s="22">
        <v>46089</v>
      </c>
      <c r="D11" s="14" t="s">
        <v>3</v>
      </c>
      <c r="E11" s="9">
        <v>7574</v>
      </c>
      <c r="F11" s="14" t="s">
        <v>3</v>
      </c>
      <c r="G11" s="1"/>
    </row>
    <row r="12" spans="1:7" x14ac:dyDescent="0.25">
      <c r="A12" s="1"/>
      <c r="B12" s="53" t="s">
        <v>136</v>
      </c>
      <c r="C12" s="12">
        <f>SUM(C10:C11)</f>
        <v>46089</v>
      </c>
      <c r="D12" s="13" t="s">
        <v>3</v>
      </c>
      <c r="E12" s="12">
        <f>SUM(E10:E11)</f>
        <v>7574</v>
      </c>
      <c r="F12" s="13" t="s">
        <v>3</v>
      </c>
      <c r="G12" s="1"/>
    </row>
    <row r="13" spans="1:7" x14ac:dyDescent="0.25">
      <c r="A13" s="1"/>
      <c r="B13" s="53" t="s">
        <v>209</v>
      </c>
      <c r="C13" s="12">
        <f>C12*(1+'Fane 12. Nøgletal'!C14)</f>
        <v>46241.093700000005</v>
      </c>
      <c r="D13" s="13" t="s">
        <v>3</v>
      </c>
      <c r="E13" s="12">
        <f>E12*(1+'Fane 12. Nøgletal'!C14)</f>
        <v>7598.994200000001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96R2rzdKtSjuqiQjNjGe5uNp/ZPHbo5xI0am0IhTsDJNHXOyPDFfexvCTYEuditaaxvDLeUuhWizUqnZuT6vw==" saltValue="wz2UNi8oyrMNoccV07Ln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51" t="s">
        <v>16</v>
      </c>
      <c r="C9" s="51" t="s">
        <v>11</v>
      </c>
      <c r="D9" s="52"/>
      <c r="E9" s="51" t="s">
        <v>32</v>
      </c>
      <c r="F9" s="56"/>
      <c r="G9" s="1"/>
    </row>
    <row r="10" spans="1:7" x14ac:dyDescent="0.2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3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3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51" t="s">
        <v>16</v>
      </c>
      <c r="C17" s="51" t="s">
        <v>11</v>
      </c>
      <c r="D17" s="52"/>
      <c r="E17" s="51" t="s">
        <v>32</v>
      </c>
      <c r="F17" s="56"/>
      <c r="G17" s="1"/>
    </row>
    <row r="18" spans="1:7" x14ac:dyDescent="0.2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3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3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51" t="s">
        <v>16</v>
      </c>
      <c r="C25" s="51" t="s">
        <v>11</v>
      </c>
      <c r="D25" s="52"/>
      <c r="E25" s="51" t="s">
        <v>32</v>
      </c>
      <c r="F25" s="56"/>
      <c r="G25" s="1"/>
    </row>
    <row r="26" spans="1:7" x14ac:dyDescent="0.2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3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3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211</v>
      </c>
      <c r="C32" s="115"/>
      <c r="D32" s="115"/>
      <c r="E32" s="115"/>
      <c r="F32" s="116"/>
      <c r="G32" s="1"/>
    </row>
    <row r="33" spans="1:7" x14ac:dyDescent="0.25">
      <c r="A33" s="1"/>
      <c r="B33" s="51" t="s">
        <v>16</v>
      </c>
      <c r="C33" s="51" t="s">
        <v>11</v>
      </c>
      <c r="D33" s="52"/>
      <c r="E33" s="51" t="s">
        <v>32</v>
      </c>
      <c r="F33" s="56"/>
      <c r="G33" s="1"/>
    </row>
    <row r="34" spans="1:7" x14ac:dyDescent="0.2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3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3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eBCCjMri9wdRHO/+0EDtapq5K7AjjiOofEJILi1qhmTbTyr8fA2SllU7YOB1PQ78+gE4IlbC0e2YmYyIiUZCw==" saltValue="d8ZA9GOenbEgzXG9is7d4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55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25ROM37jaU7r0SYGjyR7A576+hTf4b8AB9pCDDw3FeyZw9xkmdce0Qfgw407k5/GFMte2kylBaA2yRgj3YjIw==" saltValue="DDvfaMcw+GU9rGiG3NAUR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55" t="s">
        <v>17</v>
      </c>
      <c r="C9" s="55" t="s">
        <v>11</v>
      </c>
      <c r="D9" s="56"/>
      <c r="E9" s="55" t="s">
        <v>32</v>
      </c>
      <c r="F9" s="56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3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3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55" t="s">
        <v>17</v>
      </c>
      <c r="C16" s="55" t="s">
        <v>11</v>
      </c>
      <c r="D16" s="56"/>
      <c r="E16" s="55" t="s">
        <v>32</v>
      </c>
      <c r="F16" s="56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3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3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55" t="s">
        <v>17</v>
      </c>
      <c r="C23" s="55" t="s">
        <v>11</v>
      </c>
      <c r="D23" s="56"/>
      <c r="E23" s="55" t="s">
        <v>32</v>
      </c>
      <c r="F23" s="56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3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3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214</v>
      </c>
      <c r="C29" s="115"/>
      <c r="D29" s="115"/>
      <c r="E29" s="115"/>
      <c r="F29" s="116"/>
      <c r="G29" s="1"/>
    </row>
    <row r="30" spans="1:7" ht="26.25" x14ac:dyDescent="0.25">
      <c r="A30" s="1"/>
      <c r="B30" s="55" t="s">
        <v>17</v>
      </c>
      <c r="C30" s="55" t="s">
        <v>11</v>
      </c>
      <c r="D30" s="56"/>
      <c r="E30" s="55" t="s">
        <v>32</v>
      </c>
      <c r="F30" s="56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3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3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8WKfTbqj3QDuX/Ar/VsvcUOlRx/vPffcrDsKv8NyK+5gMeEiVR38AWNYktfDEyd+SXwFyoDgJ6eiM8WuuJ5ANA==" saltValue="NA8rZMYiXzp7hmkprXDKM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3" t="s">
        <v>14</v>
      </c>
      <c r="C8" s="20"/>
      <c r="D8" s="1"/>
    </row>
    <row r="9" spans="1:4" x14ac:dyDescent="0.25">
      <c r="A9" s="1"/>
      <c r="B9" s="65" t="s">
        <v>118</v>
      </c>
      <c r="C9" s="26">
        <v>1.2699999999999999E-2</v>
      </c>
      <c r="D9" s="1"/>
    </row>
    <row r="10" spans="1:4" x14ac:dyDescent="0.25">
      <c r="A10" s="1"/>
      <c r="B10" s="65" t="s">
        <v>22</v>
      </c>
      <c r="C10" s="26">
        <v>1.7500000000000002E-2</v>
      </c>
      <c r="D10" s="1"/>
    </row>
    <row r="11" spans="1:4" x14ac:dyDescent="0.25">
      <c r="A11" s="1"/>
      <c r="B11" s="65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8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3" t="s">
        <v>106</v>
      </c>
      <c r="C18" s="20"/>
      <c r="D18" s="1"/>
    </row>
    <row r="19" spans="1:4" x14ac:dyDescent="0.25">
      <c r="A19" s="1"/>
      <c r="B19" s="65" t="s">
        <v>120</v>
      </c>
      <c r="C19" s="23">
        <v>9.1000000000000004E-3</v>
      </c>
      <c r="D19" s="1"/>
    </row>
    <row r="20" spans="1:4" x14ac:dyDescent="0.25">
      <c r="A20" s="1"/>
      <c r="B20" s="65" t="s">
        <v>121</v>
      </c>
      <c r="C20" s="23">
        <v>1.77E-2</v>
      </c>
      <c r="D20" s="1"/>
    </row>
    <row r="21" spans="1:4" x14ac:dyDescent="0.25">
      <c r="A21" s="1"/>
      <c r="B21" s="65" t="s">
        <v>122</v>
      </c>
      <c r="C21" s="23">
        <v>8.6999999999999994E-3</v>
      </c>
      <c r="D21" s="1"/>
    </row>
    <row r="22" spans="1:4" x14ac:dyDescent="0.25">
      <c r="A22" s="1"/>
      <c r="B22" s="65" t="s">
        <v>123</v>
      </c>
      <c r="C22" s="35">
        <v>2.8400000000000002E-2</v>
      </c>
      <c r="D22" s="1"/>
    </row>
    <row r="23" spans="1:4" x14ac:dyDescent="0.25">
      <c r="A23" s="1"/>
      <c r="B23" s="65" t="s">
        <v>146</v>
      </c>
      <c r="C23" s="35">
        <v>2.75E-2</v>
      </c>
      <c r="D23" s="1"/>
    </row>
    <row r="24" spans="1:4" x14ac:dyDescent="0.25">
      <c r="A24" s="1"/>
      <c r="B24" s="65" t="s">
        <v>217</v>
      </c>
      <c r="C24" s="35">
        <v>1.4800000000000001E-2</v>
      </c>
      <c r="D24" s="1"/>
    </row>
    <row r="25" spans="1:4" x14ac:dyDescent="0.25">
      <c r="A25" s="1"/>
      <c r="B25" s="53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3" t="s">
        <v>107</v>
      </c>
      <c r="C28" s="20"/>
      <c r="D28" s="1"/>
    </row>
    <row r="29" spans="1:4" x14ac:dyDescent="0.25">
      <c r="A29" s="1"/>
      <c r="B29" s="65" t="s">
        <v>124</v>
      </c>
      <c r="C29" s="26">
        <v>0.02</v>
      </c>
      <c r="D29" s="1"/>
    </row>
    <row r="30" spans="1:4" x14ac:dyDescent="0.25">
      <c r="A30" s="1"/>
      <c r="B30" s="53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NqZeVv3mqLgdJOmPy8Y74SQqRjJnmRvrpGJlAjgMUjaBNTxz6t0qpBnuOFnooqg3xZB7cn5GKwwcy0WorJQYg==" saltValue="oaU9W4bidYXHMm7kVVRMj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3" t="s">
        <v>13</v>
      </c>
      <c r="C8" s="54"/>
      <c r="D8" s="20"/>
      <c r="E8" s="1"/>
    </row>
    <row r="9" spans="1:5" x14ac:dyDescent="0.25">
      <c r="A9" s="1"/>
      <c r="B9" s="58" t="s">
        <v>24</v>
      </c>
      <c r="C9" s="7">
        <f>'Fane 3. Omkostninger i ØR2021'!E20</f>
        <v>13140772.703282548</v>
      </c>
      <c r="D9" s="8" t="s">
        <v>3</v>
      </c>
      <c r="E9" s="1"/>
    </row>
    <row r="10" spans="1:5" x14ac:dyDescent="0.25">
      <c r="A10" s="1"/>
      <c r="B10" s="49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113763.7721320128</v>
      </c>
      <c r="D10" s="8" t="s">
        <v>3</v>
      </c>
      <c r="E10" s="1"/>
    </row>
    <row r="11" spans="1:5" x14ac:dyDescent="0.25">
      <c r="A11" s="1"/>
      <c r="B11" s="49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6628.8745381256995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46241.093700000005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7598.994200000001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160495.09927011712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-111415.96668656271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-219790.14525049375</v>
      </c>
      <c r="D21" s="8" t="s">
        <v>3</v>
      </c>
      <c r="E21" s="1"/>
    </row>
    <row r="22" spans="1:5" ht="17.100000000000001" customHeight="1" x14ac:dyDescent="0.25">
      <c r="A22" s="1"/>
      <c r="B22" s="66" t="s">
        <v>20</v>
      </c>
      <c r="C22" s="10">
        <f>SUM(C9,C12:C21)</f>
        <v>13023901.778515607</v>
      </c>
      <c r="D22" s="11" t="s">
        <v>3</v>
      </c>
      <c r="E22" s="1"/>
    </row>
    <row r="23" spans="1:5" ht="15" customHeight="1" x14ac:dyDescent="0.25">
      <c r="A23" s="1"/>
      <c r="B23" s="53" t="s">
        <v>12</v>
      </c>
      <c r="C23" s="54"/>
      <c r="D23" s="20"/>
      <c r="E23" s="1"/>
    </row>
    <row r="24" spans="1:5" ht="15" customHeight="1" x14ac:dyDescent="0.25">
      <c r="A24" s="1"/>
      <c r="B24" s="55" t="s">
        <v>12</v>
      </c>
      <c r="C24" s="10">
        <f>'Fane 6. Ikke-påvirkelige omk.'!C15</f>
        <v>9600689.2690669317</v>
      </c>
      <c r="D24" s="11" t="s">
        <v>3</v>
      </c>
      <c r="E24" s="1"/>
    </row>
    <row r="25" spans="1:5" ht="15" customHeight="1" x14ac:dyDescent="0.25">
      <c r="A25" s="1"/>
      <c r="B25" s="53" t="s">
        <v>89</v>
      </c>
      <c r="C25" s="54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6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4"/>
      <c r="D29" s="20"/>
      <c r="E29" s="1"/>
    </row>
    <row r="30" spans="1:5" x14ac:dyDescent="0.25">
      <c r="A30" s="1"/>
      <c r="B30" s="69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4"/>
      <c r="D31" s="20"/>
      <c r="E31" s="1"/>
    </row>
    <row r="32" spans="1:5" x14ac:dyDescent="0.25">
      <c r="A32" s="1"/>
      <c r="B32" s="69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3" t="s">
        <v>30</v>
      </c>
      <c r="C33" s="31">
        <f>SUM(C22,C24,C28,C30,C32)</f>
        <v>22624591.047582537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p8WuDZ9ApMa5ho3HemMAGBwy0pt2WPl/ODCbZWRNmMUiE+Mh9uJ9wCwERWBNDhT9XGxmO/KRPcp2cQ8hiuRXVQ==" saltValue="+hjkQvUy0EN6i1cGYVbe3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3" t="s">
        <v>13</v>
      </c>
      <c r="C8" s="54"/>
      <c r="D8" s="20"/>
      <c r="E8" s="1"/>
    </row>
    <row r="9" spans="1:5" ht="15" customHeight="1" x14ac:dyDescent="0.25">
      <c r="A9" s="1"/>
      <c r="B9" s="58" t="s">
        <v>134</v>
      </c>
      <c r="C9" s="7">
        <f>'Fane 2.1. Økonomisk ramme 2022'!C22</f>
        <v>13023901.778515607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9" t="s">
        <v>18</v>
      </c>
      <c r="C12" s="9">
        <f>SUM(C9:C11)*'Fane 12. Nøgletal'!C14</f>
        <v>42978.875869101503</v>
      </c>
      <c r="D12" s="8" t="s">
        <v>3</v>
      </c>
      <c r="E12" s="1"/>
    </row>
    <row r="13" spans="1:5" ht="15" customHeight="1" x14ac:dyDescent="0.25">
      <c r="A13" s="1"/>
      <c r="B13" s="4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9" t="s">
        <v>25</v>
      </c>
      <c r="C14" s="9">
        <f>-'Fane 4.1. Gen. krav - drift'!G44</f>
        <v>-109547.96658909581</v>
      </c>
      <c r="D14" s="8" t="s">
        <v>3</v>
      </c>
      <c r="E14" s="1"/>
    </row>
    <row r="15" spans="1:5" ht="15" customHeight="1" x14ac:dyDescent="0.25">
      <c r="A15" s="1"/>
      <c r="B15" s="49" t="s">
        <v>26</v>
      </c>
      <c r="C15" s="9">
        <f>-'Fane 4.2. Gen. krav - anlæg'!G44</f>
        <v>-115466.06038073706</v>
      </c>
      <c r="D15" s="8" t="s">
        <v>3</v>
      </c>
      <c r="E15" s="1"/>
    </row>
    <row r="16" spans="1:5" ht="15" customHeight="1" x14ac:dyDescent="0.25">
      <c r="A16" s="1"/>
      <c r="B16" s="50" t="s">
        <v>20</v>
      </c>
      <c r="C16" s="10">
        <f>SUM(C9:C15)</f>
        <v>12841866.627414877</v>
      </c>
      <c r="D16" s="11" t="s">
        <v>3</v>
      </c>
      <c r="E16" s="1"/>
    </row>
    <row r="17" spans="1:5" x14ac:dyDescent="0.25">
      <c r="A17" s="1"/>
      <c r="B17" s="53" t="s">
        <v>12</v>
      </c>
      <c r="C17" s="54"/>
      <c r="D17" s="20"/>
      <c r="E17" s="1"/>
    </row>
    <row r="18" spans="1:5" ht="15" customHeight="1" x14ac:dyDescent="0.25">
      <c r="A18" s="1"/>
      <c r="B18" s="55" t="s">
        <v>12</v>
      </c>
      <c r="C18" s="10">
        <f>'Fane 6. Ikke-påvirkelige omk.'!C15*(1+'Fane 12. Nøgletal'!C14)</f>
        <v>9632371.5436548535</v>
      </c>
      <c r="D18" s="11" t="s">
        <v>3</v>
      </c>
      <c r="E18" s="1"/>
    </row>
    <row r="19" spans="1:5" ht="15" customHeight="1" x14ac:dyDescent="0.25">
      <c r="A19" s="1"/>
      <c r="B19" s="53" t="s">
        <v>89</v>
      </c>
      <c r="C19" s="54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6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4"/>
      <c r="D23" s="20"/>
      <c r="E23" s="1"/>
    </row>
    <row r="24" spans="1:5" ht="15" customHeight="1" x14ac:dyDescent="0.25">
      <c r="A24" s="1"/>
      <c r="B24" s="69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4"/>
      <c r="D25" s="20"/>
      <c r="E25" s="1"/>
    </row>
    <row r="26" spans="1:5" x14ac:dyDescent="0.25">
      <c r="A26" s="1"/>
      <c r="B26" s="69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3" t="s">
        <v>97</v>
      </c>
      <c r="C27" s="12">
        <f>SUM(C16,C18,C22,C24,C26)</f>
        <v>22474238.17106973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h+/z1mkZQ/3aGp6WQp9Eu/A4A2lIkSZeMaXh6ZoofROPn1kBgYB3O1exatu0NfAjY1siDstvaeG0YV2EkVTuMw==" saltValue="m60e9nhEi0aNkiy+so+b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3" t="s">
        <v>13</v>
      </c>
      <c r="C7" s="54"/>
      <c r="D7" s="20"/>
      <c r="E7" s="1"/>
    </row>
    <row r="8" spans="1:5" ht="15" customHeight="1" x14ac:dyDescent="0.25">
      <c r="A8" s="1"/>
      <c r="B8" s="58" t="s">
        <v>135</v>
      </c>
      <c r="C8" s="7">
        <f>'Fane 2.2. Økonomisk ramme 2023'!C16</f>
        <v>12841866.627414877</v>
      </c>
      <c r="D8" s="8" t="s">
        <v>3</v>
      </c>
      <c r="E8" s="1"/>
    </row>
    <row r="9" spans="1:5" ht="15" customHeight="1" x14ac:dyDescent="0.25">
      <c r="A9" s="1"/>
      <c r="B9" s="58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8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42378.159870469091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drift'!G50</f>
        <v>-107711.28538126305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43">
        <f>-'Fane 4.2. Gen. krav - anlæg'!G50</f>
        <v>-114132.5613239696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12662400.940580115</v>
      </c>
      <c r="D15" s="11" t="s">
        <v>3</v>
      </c>
      <c r="E15" s="1"/>
    </row>
    <row r="16" spans="1:5" x14ac:dyDescent="0.25">
      <c r="A16" s="1"/>
      <c r="B16" s="53" t="s">
        <v>12</v>
      </c>
      <c r="C16" s="54"/>
      <c r="D16" s="20"/>
      <c r="E16" s="1"/>
    </row>
    <row r="17" spans="1:5" ht="15" customHeight="1" x14ac:dyDescent="0.25">
      <c r="A17" s="1"/>
      <c r="B17" s="55" t="s">
        <v>12</v>
      </c>
      <c r="C17" s="10">
        <f>'Fane 6. Ikke-påvirkelige omk.'!C15*(1+'Fane 12. Nøgletal'!C14)^2</f>
        <v>9664158.3697489146</v>
      </c>
      <c r="D17" s="11" t="s">
        <v>3</v>
      </c>
      <c r="E17" s="1"/>
    </row>
    <row r="18" spans="1:5" ht="15" customHeight="1" x14ac:dyDescent="0.25">
      <c r="A18" s="1"/>
      <c r="B18" s="53" t="s">
        <v>89</v>
      </c>
      <c r="C18" s="54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3" t="s">
        <v>161</v>
      </c>
      <c r="C22" s="54"/>
      <c r="D22" s="20"/>
      <c r="E22" s="1"/>
    </row>
    <row r="23" spans="1:5" x14ac:dyDescent="0.25">
      <c r="A23" s="1"/>
      <c r="B23" s="55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4"/>
      <c r="D24" s="20"/>
      <c r="E24" s="1"/>
    </row>
    <row r="25" spans="1:5" ht="15" customHeight="1" x14ac:dyDescent="0.2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3" t="s">
        <v>186</v>
      </c>
      <c r="C26" s="12">
        <f>SUM(C15,C17,C21,C23,C25)</f>
        <v>22326559.310329027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nCOoRFaMRBWTb9323yGNxElAZ1eW1Ct4bI1IY4Y4Qt8QYoeHmR7FRwNrdUvOJsop8oJRJsirVlM6skyzuEj5Q==" saltValue="t8aaJxMdTL+PUos2+lxvv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3" t="s">
        <v>13</v>
      </c>
      <c r="C7" s="54"/>
      <c r="D7" s="20"/>
      <c r="E7" s="1"/>
    </row>
    <row r="8" spans="1:5" ht="15" customHeight="1" x14ac:dyDescent="0.25">
      <c r="A8" s="1"/>
      <c r="B8" s="58" t="s">
        <v>188</v>
      </c>
      <c r="C8" s="7">
        <f>'Fane 2.3. Økonomisk ramme 2024'!C15</f>
        <v>12662400.940580115</v>
      </c>
      <c r="D8" s="8" t="s">
        <v>3</v>
      </c>
      <c r="E8" s="1"/>
    </row>
    <row r="9" spans="1:5" ht="15" customHeight="1" x14ac:dyDescent="0.25">
      <c r="A9" s="1"/>
      <c r="B9" s="58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8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41785.923103914378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drift'!G56</f>
        <v>-105905.39797056079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9">
        <f>-'Fane 4.2. Gen. krav - anlæg'!G56</f>
        <v>-112814.46263444888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12485467.003079019</v>
      </c>
      <c r="D15" s="11" t="s">
        <v>3</v>
      </c>
      <c r="E15" s="1"/>
    </row>
    <row r="16" spans="1:5" x14ac:dyDescent="0.25">
      <c r="A16" s="1"/>
      <c r="B16" s="53" t="s">
        <v>12</v>
      </c>
      <c r="C16" s="54"/>
      <c r="D16" s="20"/>
      <c r="E16" s="1"/>
    </row>
    <row r="17" spans="1:5" ht="15" customHeight="1" x14ac:dyDescent="0.25">
      <c r="A17" s="1"/>
      <c r="B17" s="55" t="s">
        <v>12</v>
      </c>
      <c r="C17" s="10">
        <f>'Fane 6. Ikke-påvirkelige omk.'!C15*(1+'Fane 12. Nøgletal'!C14)^3</f>
        <v>9696050.092369087</v>
      </c>
      <c r="D17" s="11" t="s">
        <v>3</v>
      </c>
      <c r="E17" s="1"/>
    </row>
    <row r="18" spans="1:5" ht="15" customHeight="1" x14ac:dyDescent="0.25">
      <c r="A18" s="1"/>
      <c r="B18" s="53" t="s">
        <v>89</v>
      </c>
      <c r="C18" s="54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3" t="s">
        <v>161</v>
      </c>
      <c r="C22" s="54"/>
      <c r="D22" s="20"/>
      <c r="E22" s="1"/>
    </row>
    <row r="23" spans="1:5" x14ac:dyDescent="0.25">
      <c r="A23" s="1"/>
      <c r="B23" s="55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4"/>
      <c r="D24" s="20"/>
      <c r="E24" s="1"/>
    </row>
    <row r="25" spans="1:5" x14ac:dyDescent="0.2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3" t="s">
        <v>189</v>
      </c>
      <c r="C26" s="12">
        <f>SUM(C15,C17,C21,C23,C25)</f>
        <v>22181517.095448107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zobGuospcEC7K7vnWcrhAPqKyf2xbyJ6P2kEMUeK0mqWjwI61pfFVurooYgbOe2jgCpdngr3bky74OrwayBmw==" saltValue="awma4RVGJjOAKIpE4f4RI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190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3" t="s">
        <v>223</v>
      </c>
      <c r="C8" s="54"/>
      <c r="D8" s="54"/>
      <c r="E8" s="54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13191485.47250627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114686.3088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6734.1665999999996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162417.4525644565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0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-111384.06632993654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-223166.63085824106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13140772.703282548</v>
      </c>
      <c r="F20" s="11" t="s">
        <v>3</v>
      </c>
      <c r="G20" s="1"/>
    </row>
    <row r="21" spans="1:7" x14ac:dyDescent="0.25">
      <c r="A21" s="1"/>
      <c r="B21" s="53" t="s">
        <v>12</v>
      </c>
      <c r="C21" s="54"/>
      <c r="D21" s="54"/>
      <c r="E21" s="54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9471415.1131101605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4"/>
      <c r="F23" s="54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0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0</v>
      </c>
      <c r="F26" s="11" t="s">
        <v>3</v>
      </c>
      <c r="G26" s="1"/>
    </row>
    <row r="27" spans="1:7" x14ac:dyDescent="0.25">
      <c r="A27" s="1"/>
      <c r="B27" s="53" t="s">
        <v>161</v>
      </c>
      <c r="C27" s="54"/>
      <c r="D27" s="54"/>
      <c r="E27" s="54"/>
      <c r="F27" s="20"/>
      <c r="G27" s="1"/>
    </row>
    <row r="28" spans="1:7" ht="15" customHeight="1" x14ac:dyDescent="0.25">
      <c r="A28" s="1"/>
      <c r="B28" s="99" t="s">
        <v>162</v>
      </c>
      <c r="C28" s="100"/>
      <c r="D28" s="101"/>
      <c r="E28" s="10">
        <v>0</v>
      </c>
      <c r="F28" s="11" t="s">
        <v>3</v>
      </c>
      <c r="G28" s="1"/>
    </row>
    <row r="29" spans="1:7" x14ac:dyDescent="0.25">
      <c r="A29" s="1"/>
      <c r="B29" s="53" t="s">
        <v>245</v>
      </c>
      <c r="C29" s="54"/>
      <c r="D29" s="54"/>
      <c r="E29" s="54"/>
      <c r="F29" s="20"/>
      <c r="G29" s="1"/>
    </row>
    <row r="30" spans="1:7" ht="15.6" customHeight="1" x14ac:dyDescent="0.25">
      <c r="A30" s="1"/>
      <c r="B30" s="104" t="s">
        <v>246</v>
      </c>
      <c r="C30" s="105"/>
      <c r="D30" s="106"/>
      <c r="E30" s="10">
        <v>0</v>
      </c>
      <c r="F30" s="11" t="s">
        <v>3</v>
      </c>
      <c r="G30" s="1"/>
    </row>
    <row r="31" spans="1:7" x14ac:dyDescent="0.25">
      <c r="A31" s="1"/>
      <c r="B31" s="53" t="s">
        <v>29</v>
      </c>
      <c r="C31" s="54"/>
      <c r="D31" s="54"/>
      <c r="E31" s="12">
        <f>E20+E22+E26+E28+E30</f>
        <v>22612187.816392709</v>
      </c>
      <c r="F31" s="13" t="s">
        <v>3</v>
      </c>
      <c r="G31" s="1"/>
    </row>
    <row r="32" spans="1:7" ht="27.75" customHeight="1" x14ac:dyDescent="0.25">
      <c r="A32" s="1"/>
      <c r="B32" s="90" t="s">
        <v>191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GQxQIlahyJpJ8zPYFDrUjGSs0cAohY9I1EoSKrb8+pM9V1vhOCa2ePs8v9iQZ5Qdw1O0B+vi4xmPmXY2LgnWw==" saltValue="yK3JZimNdIT6P4O/nSZk5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5577277.026705266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111545.54053410533</v>
      </c>
      <c r="H6" s="14" t="s">
        <v>3</v>
      </c>
      <c r="I6" s="1"/>
    </row>
    <row r="7" spans="1:9" x14ac:dyDescent="0.25">
      <c r="A7" s="1"/>
      <c r="B7" s="53"/>
      <c r="C7" s="54"/>
      <c r="D7" s="54"/>
      <c r="E7" s="54"/>
      <c r="F7" s="54"/>
      <c r="G7" s="5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5535146.2760455338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110702.92552091068</v>
      </c>
      <c r="H12" s="14" t="s">
        <v>3</v>
      </c>
      <c r="I12" s="1"/>
    </row>
    <row r="13" spans="1:9" x14ac:dyDescent="0.25">
      <c r="A13" s="1"/>
      <c r="B13" s="53"/>
      <c r="C13" s="54"/>
      <c r="D13" s="54"/>
      <c r="E13" s="54"/>
      <c r="F13" s="54"/>
      <c r="G13" s="5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5516116.4431484882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24">
        <v>187.03322360885994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110326.06952744194</v>
      </c>
      <c r="H19" s="14" t="s">
        <v>3</v>
      </c>
      <c r="I19" s="1"/>
    </row>
    <row r="20" spans="1:9" x14ac:dyDescent="0.25">
      <c r="A20" s="1"/>
      <c r="B20" s="53"/>
      <c r="C20" s="54"/>
      <c r="D20" s="54"/>
      <c r="E20" s="54"/>
      <c r="F20" s="54"/>
      <c r="G20" s="5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5497338.4250203297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109946.7685004066</v>
      </c>
      <c r="H25" s="14" t="s">
        <v>3</v>
      </c>
      <c r="I25" s="1"/>
    </row>
    <row r="26" spans="1:9" x14ac:dyDescent="0.25">
      <c r="A26" s="1"/>
      <c r="B26" s="53"/>
      <c r="C26" s="54"/>
      <c r="D26" s="54"/>
      <c r="E26" s="54"/>
      <c r="F26" s="54"/>
      <c r="G26" s="5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5453117.8347294666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24">
        <f>SUM('Fane 3. Omkostninger i ØR2021'!E10,'Fane 3. Omkostninger i ØR2021'!E12,'Fane 3. Omkostninger i ØR2021'!E14)*(1+'Fane 12. Nøgletal'!C13)</f>
        <v>116085.48176736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111384.06632993654</v>
      </c>
      <c r="H31" s="14" t="s">
        <v>3</v>
      </c>
      <c r="I31" s="1"/>
    </row>
    <row r="32" spans="1:9" x14ac:dyDescent="0.25">
      <c r="A32" s="1"/>
      <c r="B32" s="53"/>
      <c r="C32" s="54"/>
      <c r="D32" s="54"/>
      <c r="E32" s="54"/>
      <c r="F32" s="54"/>
      <c r="G32" s="5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5524404.6450189259</v>
      </c>
      <c r="H35" s="14" t="s">
        <v>3</v>
      </c>
      <c r="I35" s="1"/>
    </row>
    <row r="36" spans="1:9" x14ac:dyDescent="0.25">
      <c r="A36" s="1"/>
      <c r="B36" s="37" t="s">
        <v>192</v>
      </c>
      <c r="C36" s="60"/>
      <c r="D36" s="60"/>
      <c r="E36" s="60"/>
      <c r="F36" s="61"/>
      <c r="G36" s="24">
        <f>SUM('Fane 2.1. Økonomisk ramme 2022'!C10)*(1+'Fane 12. Nøgletal'!C14)</f>
        <v>114139.19258004846</v>
      </c>
      <c r="H36" s="14" t="s">
        <v>3</v>
      </c>
      <c r="I36" s="1"/>
    </row>
    <row r="37" spans="1:9" x14ac:dyDescent="0.25">
      <c r="A37" s="1"/>
      <c r="B37" s="111" t="s">
        <v>221</v>
      </c>
      <c r="C37" s="112"/>
      <c r="D37" s="112"/>
      <c r="E37" s="112"/>
      <c r="F37" s="113"/>
      <c r="G37" s="24">
        <f>SUM('Fane 2.1. Økonomisk ramme 2022'!C12,'Fane 2.1. Økonomisk ramme 2022'!C14,'Fane 2.1. Økonomisk ramme 2022'!C16)*(1+'Fane 12. Nøgletal'!C14)</f>
        <v>46393.689309210007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111415.96668656271</v>
      </c>
      <c r="H38" s="14" t="s">
        <v>3</v>
      </c>
      <c r="I38" s="1"/>
    </row>
    <row r="39" spans="1:9" x14ac:dyDescent="0.25">
      <c r="A39" s="1"/>
      <c r="B39" s="53"/>
      <c r="C39" s="54"/>
      <c r="D39" s="54"/>
      <c r="E39" s="54"/>
      <c r="F39" s="54"/>
      <c r="G39" s="54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5477398.3294547908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42"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109547.96658909581</v>
      </c>
      <c r="H44" s="14" t="s">
        <v>3</v>
      </c>
      <c r="I44" s="1"/>
    </row>
    <row r="45" spans="1:9" x14ac:dyDescent="0.25">
      <c r="A45" s="1"/>
      <c r="B45" s="53"/>
      <c r="C45" s="54"/>
      <c r="D45" s="54"/>
      <c r="E45" s="54"/>
      <c r="F45" s="54"/>
      <c r="G45" s="54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5385564.2690631524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42"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107711.28538126305</v>
      </c>
      <c r="H50" s="14" t="s">
        <v>3</v>
      </c>
      <c r="I50" s="1"/>
    </row>
    <row r="51" spans="1:9" x14ac:dyDescent="0.25">
      <c r="A51" s="1"/>
      <c r="B51" s="53"/>
      <c r="C51" s="54"/>
      <c r="D51" s="54"/>
      <c r="E51" s="54"/>
      <c r="F51" s="54"/>
      <c r="G51" s="54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198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199</v>
      </c>
      <c r="C54" s="112"/>
      <c r="D54" s="112"/>
      <c r="E54" s="112"/>
      <c r="F54" s="113"/>
      <c r="G54" s="24">
        <f>(G48+G49-G50)*(1+'Fane 12. Nøgletal'!C14)</f>
        <v>5295269.8985280395</v>
      </c>
      <c r="H54" s="14" t="s">
        <v>3</v>
      </c>
      <c r="I54" s="1"/>
    </row>
    <row r="55" spans="1:9" x14ac:dyDescent="0.25">
      <c r="A55" s="1"/>
      <c r="B55" s="111" t="s">
        <v>200</v>
      </c>
      <c r="C55" s="112"/>
      <c r="D55" s="112"/>
      <c r="E55" s="112"/>
      <c r="F55" s="113"/>
      <c r="G55" s="42">
        <v>0</v>
      </c>
      <c r="H55" s="14" t="s">
        <v>3</v>
      </c>
      <c r="I55" s="1"/>
    </row>
    <row r="56" spans="1:9" x14ac:dyDescent="0.25">
      <c r="A56" s="1"/>
      <c r="B56" s="111" t="s">
        <v>201</v>
      </c>
      <c r="C56" s="112"/>
      <c r="D56" s="112"/>
      <c r="E56" s="112"/>
      <c r="F56" s="113"/>
      <c r="G56" s="24">
        <f>(G54+G55)*'Fane 12. Nøgletal'!C29</f>
        <v>105905.39797056079</v>
      </c>
      <c r="H56" s="14" t="s">
        <v>3</v>
      </c>
      <c r="I56" s="1"/>
    </row>
    <row r="57" spans="1:9" x14ac:dyDescent="0.25">
      <c r="A57" s="1"/>
      <c r="B57" s="53"/>
      <c r="C57" s="54"/>
      <c r="D57" s="54"/>
      <c r="E57" s="54"/>
      <c r="F57" s="54"/>
      <c r="G57" s="54"/>
      <c r="H57" s="20"/>
      <c r="I57" s="1"/>
    </row>
  </sheetData>
  <sheetProtection algorithmName="SHA-512" hashValue="7eOmJhMM+g9V/4SuAhGP/dA4B6evmFkMq6s70ri/kejYC9NUCjmZjb8gUI7Uaj4zYLHoMd/L+oz7Y9jVNNzCfQ==" saltValue="mvT5i7haOO82feQVAGOYu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7784275.0229191277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70836.90270856407</v>
      </c>
      <c r="H6" s="14" t="s">
        <v>3</v>
      </c>
      <c r="I6" s="1"/>
    </row>
    <row r="7" spans="1:9" x14ac:dyDescent="0.25">
      <c r="A7" s="1"/>
      <c r="B7" s="53"/>
      <c r="C7" s="54"/>
      <c r="D7" s="54"/>
      <c r="E7" s="54"/>
      <c r="F7" s="54"/>
      <c r="G7" s="5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7811398.7843372375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71083.72893746887</v>
      </c>
      <c r="H12" s="14" t="s">
        <v>3</v>
      </c>
      <c r="I12" s="1"/>
    </row>
    <row r="13" spans="1:9" x14ac:dyDescent="0.25">
      <c r="A13" s="1"/>
      <c r="B13" s="53"/>
      <c r="C13" s="54"/>
      <c r="D13" s="54"/>
      <c r="E13" s="54"/>
      <c r="F13" s="54"/>
      <c r="G13" s="5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7871126.3798360247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145226.58795668685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69742.270819796584</v>
      </c>
      <c r="H19" s="14" t="s">
        <v>3</v>
      </c>
      <c r="I19" s="1"/>
    </row>
    <row r="20" spans="1:9" x14ac:dyDescent="0.25">
      <c r="A20" s="1"/>
      <c r="B20" s="53"/>
      <c r="C20" s="54"/>
      <c r="D20" s="54"/>
      <c r="E20" s="54"/>
      <c r="F20" s="54"/>
      <c r="G20" s="5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8080908.4177517565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70303.90323444028</v>
      </c>
      <c r="H25" s="14" t="s">
        <v>3</v>
      </c>
      <c r="I25" s="1"/>
    </row>
    <row r="26" spans="1:9" x14ac:dyDescent="0.25">
      <c r="A26" s="1"/>
      <c r="B26" s="53"/>
      <c r="C26" s="54"/>
      <c r="D26" s="54"/>
      <c r="E26" s="54"/>
      <c r="F26" s="54"/>
      <c r="G26" s="5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8108333.8895944273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24">
        <v>6816.3234325199992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223166.63085824106</v>
      </c>
      <c r="H31" s="14" t="s">
        <v>3</v>
      </c>
      <c r="I31" s="1"/>
    </row>
    <row r="32" spans="1:9" x14ac:dyDescent="0.25">
      <c r="A32" s="1"/>
      <c r="B32" s="53"/>
      <c r="C32" s="54"/>
      <c r="D32" s="54"/>
      <c r="E32" s="54"/>
      <c r="F32" s="54"/>
      <c r="G32" s="5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7988265.7818711651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6650.7498241015146</v>
      </c>
      <c r="H36" s="14" t="s">
        <v>3</v>
      </c>
      <c r="I36" s="38"/>
    </row>
    <row r="37" spans="1:9" x14ac:dyDescent="0.25">
      <c r="A37" s="1"/>
      <c r="B37" s="111" t="s">
        <v>193</v>
      </c>
      <c r="C37" s="112"/>
      <c r="D37" s="112"/>
      <c r="E37" s="112"/>
      <c r="F37" s="113"/>
      <c r="G37" s="24">
        <f>SUM('Fane 2.1. Økonomisk ramme 2022'!C13,'Fane 2.1. Økonomisk ramme 2022'!C15,'Fane 2.1. Økonomisk ramme 2022'!C17)*(1+'Fane 12. Nøgletal'!C14)</f>
        <v>7624.070880860002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219790.14525049375</v>
      </c>
      <c r="H38" s="14" t="s">
        <v>3</v>
      </c>
      <c r="I38" s="1"/>
    </row>
    <row r="39" spans="1:9" x14ac:dyDescent="0.25">
      <c r="A39" s="1"/>
      <c r="B39" s="53"/>
      <c r="C39" s="54"/>
      <c r="D39" s="54"/>
      <c r="E39" s="54"/>
      <c r="F39" s="54"/>
      <c r="G39" s="54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7801760.8365362873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42"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115466.06038073706</v>
      </c>
      <c r="H44" s="14" t="s">
        <v>3</v>
      </c>
      <c r="I44" s="1"/>
    </row>
    <row r="45" spans="1:9" x14ac:dyDescent="0.25">
      <c r="A45" s="1"/>
      <c r="B45" s="53"/>
      <c r="C45" s="54"/>
      <c r="D45" s="54"/>
      <c r="E45" s="54"/>
      <c r="F45" s="54"/>
      <c r="G45" s="54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153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154</v>
      </c>
      <c r="C48" s="112"/>
      <c r="D48" s="112"/>
      <c r="E48" s="112"/>
      <c r="F48" s="113"/>
      <c r="G48" s="24">
        <f>(G42+G43-G44)*(1+'Fane 12. Nøgletal'!C14)</f>
        <v>7711659.5489168642</v>
      </c>
      <c r="H48" s="14" t="s">
        <v>3</v>
      </c>
      <c r="I48" s="1"/>
    </row>
    <row r="49" spans="1:9" x14ac:dyDescent="0.25">
      <c r="A49" s="1"/>
      <c r="B49" s="111" t="s">
        <v>155</v>
      </c>
      <c r="C49" s="112"/>
      <c r="D49" s="112"/>
      <c r="E49" s="112"/>
      <c r="F49" s="113"/>
      <c r="G49" s="42">
        <v>0</v>
      </c>
      <c r="H49" s="14" t="s">
        <v>3</v>
      </c>
      <c r="I49" s="1"/>
    </row>
    <row r="50" spans="1:9" x14ac:dyDescent="0.25">
      <c r="A50" s="1"/>
      <c r="B50" s="111" t="s">
        <v>156</v>
      </c>
      <c r="C50" s="112"/>
      <c r="D50" s="112"/>
      <c r="E50" s="112"/>
      <c r="F50" s="113"/>
      <c r="G50" s="24">
        <f>(G48+G49)*'Fane 12. Nøgletal'!C24</f>
        <v>114132.5613239696</v>
      </c>
      <c r="H50" s="14" t="s">
        <v>3</v>
      </c>
      <c r="I50" s="1"/>
    </row>
    <row r="51" spans="1:9" x14ac:dyDescent="0.25">
      <c r="A51" s="1"/>
      <c r="B51" s="53"/>
      <c r="C51" s="54"/>
      <c r="D51" s="54"/>
      <c r="E51" s="54"/>
      <c r="F51" s="54"/>
      <c r="G51" s="54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194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195</v>
      </c>
      <c r="C54" s="112"/>
      <c r="D54" s="112"/>
      <c r="E54" s="112"/>
      <c r="F54" s="113"/>
      <c r="G54" s="24">
        <f>(G48+G49-G50)*(1+'Fane 12. Nøgletal'!C14)</f>
        <v>7622598.8266519513</v>
      </c>
      <c r="H54" s="14" t="s">
        <v>3</v>
      </c>
      <c r="I54" s="1"/>
    </row>
    <row r="55" spans="1:9" x14ac:dyDescent="0.25">
      <c r="A55" s="1"/>
      <c r="B55" s="111" t="s">
        <v>196</v>
      </c>
      <c r="C55" s="112"/>
      <c r="D55" s="112"/>
      <c r="E55" s="112"/>
      <c r="F55" s="113"/>
      <c r="G55" s="42">
        <v>0</v>
      </c>
      <c r="H55" s="14" t="s">
        <v>3</v>
      </c>
      <c r="I55" s="1"/>
    </row>
    <row r="56" spans="1:9" x14ac:dyDescent="0.25">
      <c r="A56" s="1"/>
      <c r="B56" s="111" t="s">
        <v>197</v>
      </c>
      <c r="C56" s="112"/>
      <c r="D56" s="112"/>
      <c r="E56" s="112"/>
      <c r="F56" s="113"/>
      <c r="G56" s="24">
        <f>(G54+G55)*'Fane 12. Nøgletal'!C24</f>
        <v>112814.46263444888</v>
      </c>
      <c r="H56" s="14" t="s">
        <v>3</v>
      </c>
      <c r="I56" s="1"/>
    </row>
    <row r="57" spans="1:9" x14ac:dyDescent="0.25">
      <c r="A57" s="1"/>
      <c r="B57" s="53"/>
      <c r="C57" s="54"/>
      <c r="D57" s="54"/>
      <c r="E57" s="54"/>
      <c r="F57" s="54"/>
      <c r="G57" s="54"/>
      <c r="H57" s="20"/>
      <c r="I57" s="1"/>
    </row>
  </sheetData>
  <sheetProtection algorithmName="SHA-512" hashValue="8Y2DDcEZqd3zMs6LNst3WjqyBmfa7S64Kqrv6INAGitcIGjdVB/Z8tZ0bkOt6mqe/P5E5yDKtmHD6ikiYUwSPg==" saltValue="SZrPeYq1Xnjsw8mKz7kWjg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44">
        <v>0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44">
        <v>0</v>
      </c>
      <c r="H10" s="14"/>
      <c r="I10" s="1"/>
    </row>
    <row r="11" spans="1:9" x14ac:dyDescent="0.25">
      <c r="A11" s="1"/>
      <c r="B11" s="53"/>
      <c r="C11" s="54"/>
      <c r="D11" s="54"/>
      <c r="E11" s="54"/>
      <c r="F11" s="54"/>
      <c r="G11" s="54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Ocf0Cp78+pk/0WvrepD6xSClzp1bi4fhy+btpTdoXndj3c8NdyUjnlE6tcua1rRdB+J8FKYiMU5W1B7nCquzw==" saltValue="zSu8kH5KAKs7f9WHattBI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2021-10-13T10:28:23Z</dcterms:modified>
</cp:coreProperties>
</file>