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codeName="Denne_projektmappe" defaultThemeVersion="124226"/>
  <mc:AlternateContent xmlns:mc="http://schemas.openxmlformats.org/markup-compatibility/2006">
    <mc:Choice Requires="x15">
      <x15ac:absPath xmlns:x15ac="http://schemas.microsoft.com/office/spreadsheetml/2010/11/ac" url="E:\VAND\Sagsbehandling\Spildevand\HOFOR SPILDEVAND VALLENSBÆK AS (S098)\ØR2025\"/>
    </mc:Choice>
  </mc:AlternateContent>
  <xr:revisionPtr revIDLastSave="0" documentId="13_ncr:1_{C5B1813E-43D9-4760-B5CC-E09628DC1B59}"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9" r:id="rId8"/>
    <sheet name="Fane 6. Korrektion af ØR2023" sheetId="9" r:id="rId9"/>
    <sheet name="Fane 7. Skattesagen" sheetId="17" r:id="rId10"/>
    <sheet name="Fane 8. Anlægsprojekter (§ 19)" sheetId="10" r:id="rId11"/>
    <sheet name="Fane 9.1. Varige tillæg" sheetId="11" r:id="rId12"/>
    <sheet name="Fane 9.2. Engangstillæg" sheetId="12" r:id="rId13"/>
    <sheet name="Fane 10. Periodevise driftsomk." sheetId="13" r:id="rId14"/>
    <sheet name="Fane 11. Tilknyttet virksomhed" sheetId="14" r:id="rId15"/>
    <sheet name="Fane 12. Bortfald" sheetId="15" r:id="rId16"/>
    <sheet name="Fane 13. Nøgletal" sheetId="16" r:id="rId17"/>
  </sheets>
  <definedNames>
    <definedName name="Fane21">'Fane 2.1. Økonomisk ramme 2025'!$B$8:$D$31</definedName>
    <definedName name="Fane21total">'Fane 2.1. Økonomisk ramme 2025'!$C$31</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ØR2024'!#REF!</definedName>
    <definedName name="Tabel_Fane_11">'Fane 11. Tilknyttet virksomhed'!$B$8:$F$12</definedName>
    <definedName name="Tabel_Fane_12">'Fane 12. Bortfald'!$B$8:$F$12</definedName>
    <definedName name="Tabel_Fane_2_1">'Fane 2.1. Økonomisk ramme 2025'!$B$8:$D$31</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ØR2024'!$B$8:$D$32</definedName>
    <definedName name="Z_7883F868_47B4_41A3_8E47_78C5A61242C9_.wvu.Cols" localSheetId="1" hidden="1">'Fane 2.1. Økonomisk ramme 2025'!$F:$XFD</definedName>
    <definedName name="Z_7883F868_47B4_41A3_8E47_78C5A61242C9_.wvu.Cols" localSheetId="3" hidden="1">'Fane 2.3. Økonomisk ramme 2027'!#REF!</definedName>
    <definedName name="Z_7883F868_47B4_41A3_8E47_78C5A61242C9_.wvu.Cols" localSheetId="4" hidden="1">'Fane 2.4. Økonomisk ramme 2028'!#REF!</definedName>
    <definedName name="Z_7883F868_47B4_41A3_8E47_78C5A61242C9_.wvu.Rows" localSheetId="1" hidden="1">'Fane 2.1. Økonomisk ramme 2025'!$49:$1048576</definedName>
  </definedNames>
  <calcPr calcId="191029"/>
  <customWorkbookViews>
    <customWorkbookView name="ØR" guid="{7883F868-47B4-41A3-8E47-78C5A61242C9}" maximized="1" xWindow="-8" yWindow="-8" windowWidth="1936" windowHeight="1176" tabRatio="872" activeSheetId="2"/>
  </customWorkbookViews>
</workbook>
</file>

<file path=xl/calcChain.xml><?xml version="1.0" encoding="utf-8"?>
<calcChain xmlns="http://schemas.openxmlformats.org/spreadsheetml/2006/main">
  <c r="C24" i="19" l="1"/>
  <c r="C28" i="19" s="1"/>
  <c r="C26" i="2" s="1"/>
  <c r="C9" i="2" l="1"/>
  <c r="C11" i="14" l="1"/>
  <c r="C11" i="15"/>
  <c r="E11" i="14" l="1"/>
  <c r="C25" i="13"/>
  <c r="C26" i="13" s="1"/>
  <c r="C20" i="13"/>
  <c r="C21" i="13" s="1"/>
  <c r="C15" i="13"/>
  <c r="C16" i="13" s="1"/>
  <c r="C10" i="13"/>
  <c r="C11" i="13" s="1"/>
  <c r="C19" i="2" l="1"/>
  <c r="C18" i="5" l="1"/>
  <c r="C20" i="4"/>
  <c r="C20" i="3"/>
  <c r="C30" i="2"/>
  <c r="C32" i="19" l="1"/>
  <c r="C34" i="19" s="1"/>
  <c r="C18" i="4" l="1"/>
  <c r="C18" i="3"/>
  <c r="C18" i="17"/>
  <c r="J11" i="10" l="1"/>
  <c r="H11" i="10"/>
  <c r="C19" i="7"/>
  <c r="C20" i="7" s="1"/>
  <c r="C14" i="5" l="1"/>
  <c r="C14" i="4"/>
  <c r="C14" i="3"/>
  <c r="C12" i="12" l="1"/>
  <c r="C13" i="12" s="1"/>
  <c r="E12" i="12"/>
  <c r="E13" i="12" s="1"/>
  <c r="C22" i="2" l="1"/>
  <c r="C21" i="2"/>
  <c r="C23" i="2" l="1"/>
  <c r="C24" i="2" s="1"/>
  <c r="C16" i="5" l="1"/>
  <c r="C16" i="4"/>
  <c r="F10" i="10"/>
  <c r="F11" i="10" s="1"/>
  <c r="C11" i="9"/>
  <c r="C15" i="9" l="1"/>
  <c r="C16" i="9" s="1"/>
  <c r="C28" i="2" s="1"/>
  <c r="C16" i="3" l="1"/>
  <c r="E11" i="15"/>
  <c r="E12" i="15" s="1"/>
  <c r="C12" i="15"/>
  <c r="C11" i="2" l="1"/>
  <c r="C10" i="11"/>
  <c r="E12" i="14"/>
  <c r="C12" i="14"/>
  <c r="C12" i="2" l="1"/>
  <c r="C16" i="11"/>
  <c r="C17" i="11" s="1"/>
  <c r="C17" i="2"/>
  <c r="E10" i="11" l="1"/>
  <c r="E16" i="11" s="1"/>
  <c r="E17" i="11" s="1"/>
  <c r="C10" i="2" l="1"/>
  <c r="C13" i="2" l="1"/>
  <c r="C14" i="2" s="1"/>
  <c r="C15" i="2" s="1"/>
  <c r="C31" i="2" s="1"/>
  <c r="C9" i="3" l="1"/>
  <c r="C10" i="3" s="1"/>
  <c r="C11" i="3" l="1"/>
  <c r="C12" i="3" s="1"/>
  <c r="C21" i="3" s="1"/>
  <c r="C9" i="4" l="1"/>
  <c r="C10" i="4" s="1"/>
  <c r="C11" i="4" l="1"/>
  <c r="C12" i="4" s="1"/>
  <c r="C21" i="4" l="1"/>
  <c r="C9" i="5"/>
  <c r="C10" i="5" s="1"/>
  <c r="C11" i="5" l="1"/>
  <c r="C12" i="5" s="1"/>
  <c r="C19" i="5" s="1"/>
</calcChain>
</file>

<file path=xl/sharedStrings.xml><?xml version="1.0" encoding="utf-8"?>
<sst xmlns="http://schemas.openxmlformats.org/spreadsheetml/2006/main" count="419" uniqueCount="177">
  <si>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</si>
  <si>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</si>
  <si>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</si>
  <si>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</si>
  <si>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</si>
  <si>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</si>
  <si>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</si>
  <si>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</si>
  <si>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</si>
  <si>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</si>
  <si>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</si>
  <si>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</si>
  <si>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</si>
  <si>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</si>
  <si>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</si>
  <si>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</si>
  <si>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</si>
  <si>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</si>
  <si>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</si>
  <si>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</si>
  <si>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</si>
  <si>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</si>
  <si>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</si>
  <si>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</si>
  <si>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</si>
  <si>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</si>
  <si>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</si>
  <si>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</si>
  <si>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</si>
  <si>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</si>
  <si>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</si>
  <si>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</si>
  <si>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Fane 7</t>
  </si>
  <si>
    <t>Varige tillæg</t>
  </si>
  <si>
    <t>Engangstillæg</t>
  </si>
  <si>
    <t>Periodevise driftsomkostninger</t>
  </si>
  <si>
    <t>Engangstillæg i alt</t>
  </si>
  <si>
    <t>Fane 10</t>
  </si>
  <si>
    <t>Tillæg til tilbagebetaling af vejbidrag</t>
  </si>
  <si>
    <t>Fane 4: Ikke-påvirkelige omkostninger</t>
  </si>
  <si>
    <t>Difference (Korrektion)</t>
  </si>
  <si>
    <t>Effektiviseringskrav</t>
  </si>
  <si>
    <t>Antal år i næste reguleringsperiode</t>
  </si>
  <si>
    <t>Fane 6</t>
  </si>
  <si>
    <t>Fane 8.1</t>
  </si>
  <si>
    <t>Fane 8.2</t>
  </si>
  <si>
    <t>Fane 11</t>
  </si>
  <si>
    <t>Nøgletal</t>
  </si>
  <si>
    <t>Tillæg til medfinansieringsprojekter godkendt under prisloftsbekendtgørelsen</t>
  </si>
  <si>
    <t xml:space="preserve">Effektiviseringskrav </t>
  </si>
  <si>
    <t>Nye tillæg</t>
  </si>
  <si>
    <t>Bortfald eller nedsættelse af omkostninger</t>
  </si>
  <si>
    <t>Tilknyttet virksomhed</t>
  </si>
  <si>
    <t>Tidligere tilknyttet virksomhed</t>
  </si>
  <si>
    <t>Økonomisk ramme for 2024</t>
  </si>
  <si>
    <t>Tilknyttet virksomhed under hovedvirksomheden</t>
  </si>
  <si>
    <t>Beskrivelse af tilknyttet virksomhed</t>
  </si>
  <si>
    <t>Kontrol med overholdelse af den økonomiske ramme</t>
  </si>
  <si>
    <t>Kontrol med overholdelse af økonomiske rammer</t>
  </si>
  <si>
    <t>Fane 3</t>
  </si>
  <si>
    <t>Øvrig korrektion af den økonomiske ramme</t>
  </si>
  <si>
    <t>Videreførte omkostninger fra den økonomiske ramme for 2024</t>
  </si>
  <si>
    <t>Økonomisk ramme for 2025</t>
  </si>
  <si>
    <t>Tillæg til den økonomiske ramme for 2025</t>
  </si>
  <si>
    <t>Periodevise driftsomkostninger til de økonomiske rammer for 2025</t>
  </si>
  <si>
    <t>Periodevise driftsomkostninger i alt i 2025-prisniveau</t>
  </si>
  <si>
    <t xml:space="preserve">Vejledende </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</si>
  <si>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</si>
  <si>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</si>
  <si>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</si>
  <si>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</si>
  <si>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de økonomiske rammer til indregning</t>
  </si>
  <si>
    <t xml:space="preserve"> </t>
  </si>
  <si>
    <t>Videreførte omkostninger fra den økonomiske ramme for 2023</t>
  </si>
  <si>
    <t>Videreførte omkostninger fra den økonomiske ramme for 2025</t>
  </si>
  <si>
    <t>Økonomisk ramme for 2026</t>
  </si>
  <si>
    <t>Tillæg til den økonomiske ramme for 2026</t>
  </si>
  <si>
    <t>Periodevise driftsomkostninger til de økonomiske rammer for 2026</t>
  </si>
  <si>
    <t>Periodevise driftsomkostninger i alt i 2026-prisniveau</t>
  </si>
  <si>
    <t>Anlægsprojekter igangsat senest den 1. marts 2016</t>
  </si>
  <si>
    <t>Effektiviseringskrav på engangstillæg</t>
  </si>
  <si>
    <t>Anlægsprojekter (§ 19)</t>
  </si>
  <si>
    <t>Anlægsprojekter igangsat senest 1. marts 2016</t>
  </si>
  <si>
    <t>Drifts-omkostninger</t>
  </si>
  <si>
    <t>Anskaffelses-pris</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</si>
  <si>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</si>
  <si>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</si>
  <si>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</si>
  <si>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</si>
  <si>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</si>
  <si>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</si>
  <si>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</si>
  <si>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</si>
  <si>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</si>
  <si>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</si>
  <si>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</si>
  <si>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</si>
  <si>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8: Anlægsprojekter igangsat senest den 1. marts 2016</t>
  </si>
  <si>
    <t>Fane 9.1: Varige tillæg</t>
  </si>
  <si>
    <t>Fane 9.2: Engangstillæg</t>
  </si>
  <si>
    <t>Fane 10: Periodevise driftsomkostninger givet under prisloftsbekendtgørelsen</t>
  </si>
  <si>
    <t>Fane 11: Tilknyttet virksomhed under hovedvirksomheden</t>
  </si>
  <si>
    <t>Fane 12: Bortfald eller nedsættelse af omkostninger til mål, medfinansiering eller udvidelse</t>
  </si>
  <si>
    <t>Fane 13: Nøgletal</t>
  </si>
  <si>
    <t>Skattesagen</t>
  </si>
  <si>
    <t>Indregnet fradrag i økonomisk ramme for 2024</t>
  </si>
  <si>
    <t>Indregnet fradrag i økonomisk ramme for 2025</t>
  </si>
  <si>
    <t>Vejledende økonomisk ramme for 2027</t>
  </si>
  <si>
    <t>Økonomisk ramme for 2027</t>
  </si>
  <si>
    <t>Videreførte omkostninger fra den økonomiske ramme for 2026</t>
  </si>
  <si>
    <t>Tillæg til den økonomiske ramme for 2027</t>
  </si>
  <si>
    <t>Over/underdækning i 2021</t>
  </si>
  <si>
    <t>Periodevise driftsomkostninger til de økonomiske rammer for 2027</t>
  </si>
  <si>
    <t>Periodevise driftsomkostninger i alt i 2027-prisniveau</t>
  </si>
  <si>
    <t>Nye tillæg i alt i 2023-prisniveau</t>
  </si>
  <si>
    <t>Tilknyttet virksomhed under hovedvirksomheden i alt (2023-prisniveau)</t>
  </si>
  <si>
    <t>Bortfald eller nedsættelse i alt i 2023-prisniveau</t>
  </si>
  <si>
    <t>Samlet økonomisk ramme for 2025</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</si>
  <si>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</si>
  <si>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</si>
  <si>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</si>
  <si>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</si>
  <si>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</si>
  <si>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</si>
  <si>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</si>
  <si>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</si>
  <si>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</si>
  <si>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</si>
  <si>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</si>
  <si>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</si>
  <si>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Faktiske ikke-påvirkelige omkostninger i 2023</t>
  </si>
  <si>
    <t>Omkostninger i 2023</t>
  </si>
  <si>
    <t>Ikke-påvirkelige omkostninger i 2023-prisniveau</t>
  </si>
  <si>
    <t>Ikke-påvirkelige omkostninger i 2025-prisniveau</t>
  </si>
  <si>
    <t>Tillæg til den økonomiske ramme for 2028</t>
  </si>
  <si>
    <t>Fane 6: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</si>
  <si>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</si>
  <si>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</si>
  <si>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</si>
  <si>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</si>
  <si>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</si>
  <si>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</si>
  <si>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</si>
  <si>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2025-privniveau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</si>
  <si>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</si>
  <si>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</si>
  <si>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</si>
  <si>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</si>
  <si>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den økonomiske ramme for 2025</t>
  </si>
  <si>
    <t>Vejledende økonomisk ramme for 2026</t>
  </si>
  <si>
    <t>Til statusmeddelelse for 2025</t>
  </si>
  <si>
    <t>Fane 5: Kontrol med overholdelse af den økonomiske ramme for 2023</t>
  </si>
  <si>
    <t>Over/underdækning i 2022</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</si>
  <si>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</si>
  <si>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2024-2025 er taget fra jeres tidligere fremsendte afgørelse. I kan derfor ikke komme med høringssvar til denne opgørelse. </t>
  </si>
  <si>
    <t>Kontrol med overholdelse af den økonomiske ramme for 2023</t>
  </si>
  <si>
    <t>Indtægtsramme i den økonomiske ramme for 2023</t>
  </si>
  <si>
    <t>Faktiske indtægter i 2023</t>
  </si>
  <si>
    <t>Resultat af kontrol med overholdelse af den økonomiske rammer for 2023</t>
  </si>
  <si>
    <t>Til indregning i de økonomiske rammer for 2026-2027</t>
  </si>
  <si>
    <t>Korrektion af fradrag i den økonomiske ramme for 2025</t>
  </si>
  <si>
    <t>Tillæg/fradrag i den økonomiske ramme for 2025</t>
  </si>
  <si>
    <t>Korrektion af den økonomiske ramme for 2021</t>
  </si>
  <si>
    <t>Periodevise driftsomkostninger i alt i 2022-prisniveau</t>
  </si>
  <si>
    <t>Bortfald eller nedsættelse i alt i 2025-prisniveau</t>
  </si>
  <si>
    <t>Prisudvikling til brug for ØR2024-2025</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</si>
  <si>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</si>
  <si>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</si>
  <si>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</si>
  <si>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</si>
  <si>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</si>
  <si>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</si>
  <si>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</si>
  <si>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</si>
  <si>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</si>
  <si>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Afgift til Forsyningssekretariatet</t>
  </si>
  <si>
    <t>Køb af ydelser og produkter fra andre vandselskaber reguleret af vandsektorloven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</si>
</sst>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18">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8" fillId="7" borderId="3" xfId="0" applyFont="1"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2" borderId="0" xfId="0" applyFill="1" applyBorder="1" applyProtection="1"/>
    <xf numFmtId="3" fontId="8" fillId="2" borderId="0" xfId="0" applyNumberFormat="1" applyFont="1" applyFill="1" applyBorder="1" applyProtection="1"/>
    <xf numFmtId="0" fontId="8" fillId="7" borderId="1" xfId="0" quotePrefix="1" applyFont="1" applyFill="1" applyBorder="1" applyAlignment="1" applyProtection="1">
      <alignment wrapText="1"/>
    </xf>
    <xf numFmtId="0" fontId="0" fillId="7" borderId="0" xfId="0" applyFill="1" applyProtection="1"/>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0" fontId="14" fillId="0" borderId="3" xfId="3" applyNumberFormat="1" applyFont="1" applyFill="1" applyBorder="1" applyAlignment="1" applyProtection="1"/>
    <xf numFmtId="10" fontId="8" fillId="0" borderId="1" xfId="3" applyNumberFormat="1" applyFont="1" applyFill="1" applyBorder="1" applyAlignment="1" applyProtection="1"/>
    <xf numFmtId="3" fontId="0" fillId="2" borderId="0" xfId="0" applyNumberFormat="1" applyFill="1" applyProtection="1"/>
    <xf numFmtId="3" fontId="8" fillId="4" borderId="1" xfId="0" applyNumberFormat="1" applyFont="1" applyFill="1" applyBorder="1" applyAlignment="1" applyProtection="1">
      <alignment horizontal="right"/>
    </xf>
    <xf numFmtId="164" fontId="0" fillId="2" borderId="0" xfId="4" applyFont="1" applyFill="1" applyProtection="1"/>
    <xf numFmtId="0" fontId="8" fillId="0" borderId="1" xfId="0" applyFont="1" applyFill="1" applyBorder="1" applyAlignment="1" applyProtection="1"/>
    <xf numFmtId="0" fontId="8" fillId="7" borderId="1" xfId="0" applyFont="1" applyFill="1" applyBorder="1" applyAlignment="1" applyProtection="1">
      <alignment wrapText="1"/>
    </xf>
    <xf numFmtId="0" fontId="8" fillId="4" borderId="1" xfId="0" applyFont="1" applyFill="1" applyBorder="1" applyAlignment="1" applyProtection="1"/>
    <xf numFmtId="0" fontId="8" fillId="7" borderId="2"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1" xfId="0" applyFont="1" applyFill="1" applyBorder="1" applyAlignment="1" applyProtection="1">
      <alignment horizontal="left"/>
    </xf>
    <xf numFmtId="49" fontId="8" fillId="7" borderId="2"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7" xfId="1" applyFont="1" applyFill="1" applyBorder="1" applyAlignment="1" applyProtection="1">
      <alignment horizontal="center"/>
    </xf>
    <xf numFmtId="0" fontId="1" fillId="8" borderId="8" xfId="1" applyFont="1" applyFill="1" applyBorder="1" applyAlignment="1" applyProtection="1">
      <alignment horizontal="center"/>
    </xf>
    <xf numFmtId="0" fontId="1" fillId="8" borderId="9"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10" xfId="1" applyFont="1" applyFill="1" applyBorder="1" applyAlignment="1" applyProtection="1">
      <alignment horizontal="center"/>
    </xf>
    <xf numFmtId="0" fontId="1" fillId="3" borderId="11" xfId="1" applyFont="1" applyFill="1" applyBorder="1" applyAlignment="1" applyProtection="1">
      <alignment horizontal="center"/>
    </xf>
    <xf numFmtId="0" fontId="1" fillId="3" borderId="12"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1"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B6DDF3"/>
      <color rgb="FFF2DCDB"/>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ht="15.75" customHeight="1" x14ac:dyDescent="0.25">
      <c r="A1" s="1" t="s">
        <v>72</v>
      </c>
      <c r="B1" s="1"/>
      <c r="C1" s="1"/>
      <c r="D1" s="1"/>
      <c r="E1" s="1"/>
      <c r="F1" s="1"/>
      <c r="G1" s="1"/>
    </row>
    <row r="2" spans="1:7" ht="15.75" customHeight="1" x14ac:dyDescent="0.25">
      <c r="A2" s="1"/>
      <c r="B2" s="1"/>
      <c r="C2" s="1"/>
      <c r="D2" s="1"/>
      <c r="E2" s="1"/>
      <c r="F2" s="1"/>
      <c r="G2" s="1"/>
    </row>
    <row r="3" spans="1:7" ht="15.75" customHeight="1" x14ac:dyDescent="0.25">
      <c r="A3" s="1"/>
      <c r="B3" s="1"/>
      <c r="C3" s="1"/>
      <c r="D3" s="1"/>
      <c r="E3" s="1"/>
      <c r="F3" s="1"/>
      <c r="G3" s="1"/>
    </row>
    <row r="4" spans="1:7" ht="15.75" customHeight="1" x14ac:dyDescent="0.25">
      <c r="A4" s="1"/>
      <c r="B4" s="1"/>
      <c r="C4" s="1"/>
      <c r="D4" s="1"/>
      <c r="E4" s="1"/>
      <c r="F4" s="1"/>
      <c r="G4" s="1"/>
    </row>
    <row r="5" spans="1:7" ht="15.75" customHeight="1" x14ac:dyDescent="0.25">
      <c r="A5" s="1"/>
      <c r="B5" s="1"/>
      <c r="C5" s="1"/>
      <c r="D5" s="1"/>
      <c r="E5" s="1"/>
      <c r="F5" s="1"/>
      <c r="G5" s="1"/>
    </row>
    <row r="6" spans="1:7" ht="15.75" customHeight="1" x14ac:dyDescent="0.25">
      <c r="A6" s="1"/>
      <c r="B6" s="3"/>
      <c r="C6" s="88" t="s">
        <v>4</v>
      </c>
      <c r="D6" s="88"/>
      <c r="E6" s="88"/>
      <c r="F6" s="88"/>
      <c r="G6" s="1"/>
    </row>
    <row r="7" spans="1:7" ht="15.75" customHeight="1" x14ac:dyDescent="0.25">
      <c r="A7" s="1"/>
      <c r="B7" s="3"/>
      <c r="C7" s="88"/>
      <c r="D7" s="88"/>
      <c r="E7" s="88"/>
      <c r="F7" s="88"/>
      <c r="G7" s="1"/>
    </row>
    <row r="8" spans="1:7" ht="15.75" customHeight="1" x14ac:dyDescent="0.25">
      <c r="A8" s="1"/>
      <c r="B8" s="4"/>
      <c r="C8" s="90" t="s">
        <v>150</v>
      </c>
      <c r="D8" s="90"/>
      <c r="E8" s="90"/>
      <c r="F8" s="90"/>
      <c r="G8" s="1"/>
    </row>
    <row r="9" spans="1:7" ht="15.75" customHeight="1" x14ac:dyDescent="0.25">
      <c r="A9" s="1"/>
      <c r="B9" s="5"/>
      <c r="C9" s="5"/>
      <c r="D9" s="5"/>
      <c r="E9" s="5"/>
      <c r="F9" s="5"/>
      <c r="G9" s="1"/>
    </row>
    <row r="10" spans="1:7" ht="15.75" customHeight="1" x14ac:dyDescent="0.25">
      <c r="A10" s="1"/>
      <c r="B10" s="5"/>
      <c r="C10" s="89" t="s">
        <v>5</v>
      </c>
      <c r="D10" s="89"/>
      <c r="E10" s="89"/>
      <c r="F10" s="89"/>
      <c r="G10" s="1"/>
    </row>
    <row r="11" spans="1:7" ht="15.75" customHeight="1" x14ac:dyDescent="0.25">
      <c r="A11" s="1"/>
      <c r="B11" s="1"/>
      <c r="C11" s="1"/>
      <c r="D11" s="1"/>
      <c r="E11" s="1"/>
      <c r="F11" s="1"/>
      <c r="G11" s="1"/>
    </row>
    <row r="12" spans="1:7" ht="15.75" customHeight="1" x14ac:dyDescent="0.25">
      <c r="A12" s="1"/>
      <c r="B12" s="6" t="s">
        <v>6</v>
      </c>
      <c r="C12" s="91" t="s">
        <v>117</v>
      </c>
      <c r="D12" s="92"/>
      <c r="E12" s="92"/>
      <c r="F12" s="93"/>
      <c r="G12" s="1"/>
    </row>
    <row r="13" spans="1:7" ht="15.75" customHeight="1" x14ac:dyDescent="0.25">
      <c r="A13" s="1"/>
      <c r="B13" s="6" t="s">
        <v>15</v>
      </c>
      <c r="C13" s="85" t="s">
        <v>149</v>
      </c>
      <c r="D13" s="86"/>
      <c r="E13" s="86"/>
      <c r="F13" s="87"/>
      <c r="G13" s="1"/>
    </row>
    <row r="14" spans="1:7" ht="15.75" customHeight="1" x14ac:dyDescent="0.25">
      <c r="A14" s="1"/>
      <c r="B14" s="6" t="s">
        <v>26</v>
      </c>
      <c r="C14" s="85" t="s">
        <v>107</v>
      </c>
      <c r="D14" s="86"/>
      <c r="E14" s="86"/>
      <c r="F14" s="87"/>
      <c r="G14" s="1"/>
    </row>
    <row r="15" spans="1:7" ht="15.75" customHeight="1" x14ac:dyDescent="0.25">
      <c r="A15" s="1"/>
      <c r="B15" s="6" t="s">
        <v>27</v>
      </c>
      <c r="C15" s="85" t="s">
        <v>118</v>
      </c>
      <c r="D15" s="86"/>
      <c r="E15" s="86"/>
      <c r="F15" s="87"/>
      <c r="G15" s="1"/>
    </row>
    <row r="16" spans="1:7" ht="15.75" customHeight="1" x14ac:dyDescent="0.25">
      <c r="A16" s="1"/>
      <c r="B16" s="6" t="s">
        <v>59</v>
      </c>
      <c r="C16" s="85" t="s">
        <v>119</v>
      </c>
      <c r="D16" s="86"/>
      <c r="E16" s="86"/>
      <c r="F16" s="87"/>
      <c r="G16" s="1"/>
    </row>
    <row r="17" spans="1:7" ht="15.75" customHeight="1" x14ac:dyDescent="0.25">
      <c r="A17" s="1"/>
      <c r="B17" s="6" t="s">
        <v>7</v>
      </c>
      <c r="C17" s="82" t="s">
        <v>11</v>
      </c>
      <c r="D17" s="83"/>
      <c r="E17" s="83"/>
      <c r="F17" s="84"/>
      <c r="G17" s="1"/>
    </row>
    <row r="18" spans="1:7" ht="15.75" customHeight="1" x14ac:dyDescent="0.25">
      <c r="A18" s="1"/>
      <c r="B18" s="6" t="s">
        <v>8</v>
      </c>
      <c r="C18" s="76" t="s">
        <v>120</v>
      </c>
      <c r="D18" s="77"/>
      <c r="E18" s="77"/>
      <c r="F18" s="78"/>
      <c r="G18" s="1"/>
    </row>
    <row r="19" spans="1:7" ht="15.75" customHeight="1" x14ac:dyDescent="0.25">
      <c r="A19" s="1"/>
      <c r="B19" s="6" t="s">
        <v>43</v>
      </c>
      <c r="C19" s="76" t="s">
        <v>121</v>
      </c>
      <c r="D19" s="77"/>
      <c r="E19" s="77"/>
      <c r="F19" s="78"/>
      <c r="G19" s="1"/>
    </row>
    <row r="20" spans="1:7" ht="15.75" customHeight="1" x14ac:dyDescent="0.25">
      <c r="A20" s="1"/>
      <c r="B20" s="6" t="s">
        <v>32</v>
      </c>
      <c r="C20" s="76" t="s">
        <v>104</v>
      </c>
      <c r="D20" s="77"/>
      <c r="E20" s="77"/>
      <c r="F20" s="78"/>
      <c r="G20" s="1"/>
    </row>
    <row r="21" spans="1:7" ht="15.75" customHeight="1" x14ac:dyDescent="0.25">
      <c r="A21" s="1"/>
      <c r="B21" s="6" t="s">
        <v>32</v>
      </c>
      <c r="C21" s="76" t="s">
        <v>81</v>
      </c>
      <c r="D21" s="77"/>
      <c r="E21" s="77"/>
      <c r="F21" s="78"/>
      <c r="G21" s="1"/>
    </row>
    <row r="22" spans="1:7" ht="15.75" customHeight="1" x14ac:dyDescent="0.25">
      <c r="A22" s="1"/>
      <c r="B22" s="6" t="s">
        <v>44</v>
      </c>
      <c r="C22" s="76" t="s">
        <v>33</v>
      </c>
      <c r="D22" s="77"/>
      <c r="E22" s="77"/>
      <c r="F22" s="78"/>
      <c r="G22" s="1"/>
    </row>
    <row r="23" spans="1:7" ht="15.75" customHeight="1" x14ac:dyDescent="0.25">
      <c r="A23" s="1"/>
      <c r="B23" s="6" t="s">
        <v>45</v>
      </c>
      <c r="C23" s="76" t="s">
        <v>34</v>
      </c>
      <c r="D23" s="77"/>
      <c r="E23" s="77"/>
      <c r="F23" s="78"/>
      <c r="G23" s="1"/>
    </row>
    <row r="24" spans="1:7" ht="15.75" customHeight="1" x14ac:dyDescent="0.25">
      <c r="A24" s="1"/>
      <c r="B24" s="6" t="s">
        <v>9</v>
      </c>
      <c r="C24" s="76" t="s">
        <v>35</v>
      </c>
      <c r="D24" s="77"/>
      <c r="E24" s="77"/>
      <c r="F24" s="78"/>
      <c r="G24" s="1"/>
    </row>
    <row r="25" spans="1:7" ht="15.75" customHeight="1" x14ac:dyDescent="0.25">
      <c r="A25" s="1"/>
      <c r="B25" s="6" t="s">
        <v>37</v>
      </c>
      <c r="C25" s="76" t="s">
        <v>52</v>
      </c>
      <c r="D25" s="77"/>
      <c r="E25" s="77"/>
      <c r="F25" s="78"/>
      <c r="G25" s="1"/>
    </row>
    <row r="26" spans="1:7" ht="15.75" customHeight="1" x14ac:dyDescent="0.25">
      <c r="A26" s="1"/>
      <c r="B26" s="6" t="s">
        <v>46</v>
      </c>
      <c r="C26" s="76" t="s">
        <v>28</v>
      </c>
      <c r="D26" s="77"/>
      <c r="E26" s="77"/>
      <c r="F26" s="78"/>
      <c r="G26" s="1"/>
    </row>
    <row r="27" spans="1:7" ht="15.75" customHeight="1" x14ac:dyDescent="0.25">
      <c r="A27" s="1"/>
      <c r="B27" s="6" t="s">
        <v>14</v>
      </c>
      <c r="C27" s="79" t="s">
        <v>47</v>
      </c>
      <c r="D27" s="80"/>
      <c r="E27" s="80"/>
      <c r="F27" s="81"/>
      <c r="G27" s="1"/>
    </row>
    <row r="28" spans="1:7" ht="15.75" customHeight="1" x14ac:dyDescent="0.25">
      <c r="A28" s="1"/>
      <c r="B28" s="1"/>
      <c r="C28" s="1"/>
      <c r="D28" s="1"/>
      <c r="E28" s="1"/>
      <c r="F28" s="1"/>
      <c r="G28" s="1"/>
    </row>
    <row r="29" spans="1:7" ht="15.75" customHeight="1" x14ac:dyDescent="0.25">
      <c r="A29" s="1"/>
      <c r="B29" s="1"/>
      <c r="C29" s="1"/>
      <c r="D29" s="1"/>
      <c r="E29" s="1"/>
      <c r="F29" s="1"/>
      <c r="G29" s="1"/>
    </row>
    <row r="30" spans="1:7" ht="15.75" customHeight="1" x14ac:dyDescent="0.25">
      <c r="A30" s="1"/>
      <c r="B30" s="1"/>
      <c r="C30" s="1"/>
      <c r="D30" s="1"/>
      <c r="E30" s="1"/>
      <c r="F30" s="1"/>
      <c r="G30" s="1"/>
    </row>
    <row r="31" spans="1:7" ht="15.75" customHeight="1" x14ac:dyDescent="0.25">
      <c r="A31" s="1"/>
      <c r="B31" s="1"/>
      <c r="C31" s="1"/>
      <c r="D31" s="1"/>
      <c r="E31" s="1"/>
      <c r="F31" s="1"/>
      <c r="G31" s="1"/>
    </row>
    <row r="32" spans="1:7" ht="15.75" customHeight="1" x14ac:dyDescent="0.25">
      <c r="A32" s="1"/>
      <c r="B32" s="1"/>
      <c r="C32" s="1"/>
      <c r="D32" s="1"/>
      <c r="E32" s="1"/>
      <c r="F32" s="1"/>
      <c r="G32" s="1"/>
    </row>
    <row r="33" spans="1:7" ht="15.75" customHeight="1" x14ac:dyDescent="0.25">
      <c r="A33" s="1"/>
      <c r="B33" s="1"/>
      <c r="C33" s="1"/>
      <c r="D33" s="1"/>
      <c r="E33" s="1"/>
      <c r="F33" s="1"/>
      <c r="G33" s="1"/>
    </row>
    <row r="34" spans="1:7" ht="15.75" customHeight="1" x14ac:dyDescent="0.25">
      <c r="A34" s="1"/>
      <c r="B34" s="1"/>
      <c r="C34" s="1"/>
      <c r="D34" s="1"/>
      <c r="E34" s="1"/>
      <c r="F34" s="1"/>
      <c r="G34" s="1"/>
    </row>
    <row r="35" spans="1:7" ht="15.75" customHeight="1" x14ac:dyDescent="0.25">
      <c r="A35" s="1"/>
      <c r="B35" s="1"/>
      <c r="C35" s="1"/>
      <c r="D35" s="1"/>
      <c r="E35" s="1"/>
      <c r="F35" s="1"/>
      <c r="G35" s="1"/>
    </row>
    <row r="36" spans="1:7" ht="15.75" customHeight="1" x14ac:dyDescent="0.25">
      <c r="A36" s="1"/>
      <c r="B36" s="1"/>
      <c r="C36" s="1"/>
      <c r="D36" s="1"/>
      <c r="E36" s="1"/>
      <c r="F36" s="1"/>
      <c r="G36" s="1"/>
    </row>
    <row r="37" spans="1:7" ht="15.75" customHeight="1" x14ac:dyDescent="0.25">
      <c r="A37" s="1"/>
      <c r="B37" s="1"/>
      <c r="C37" s="1"/>
      <c r="D37" s="1"/>
      <c r="E37" s="1"/>
      <c r="F37" s="1"/>
      <c r="G37" s="1"/>
    </row>
    <row r="38" spans="1:7" ht="15.75" customHeight="1" x14ac:dyDescent="0.25">
      <c r="A38" s="1"/>
      <c r="B38" s="1"/>
      <c r="C38" s="1"/>
      <c r="D38" s="1"/>
      <c r="E38" s="1"/>
      <c r="F38" s="1"/>
      <c r="G38" s="1"/>
    </row>
    <row r="39" spans="1:7" ht="15.75" customHeight="1" x14ac:dyDescent="0.25">
      <c r="A39" s="1"/>
      <c r="B39" s="1"/>
      <c r="C39" s="1"/>
      <c r="D39" s="1"/>
      <c r="E39" s="1"/>
      <c r="F39" s="1"/>
      <c r="G39" s="1"/>
    </row>
    <row r="40" spans="1:7" ht="15.75" customHeight="1" x14ac:dyDescent="0.25">
      <c r="A40" s="1"/>
      <c r="B40" s="1"/>
      <c r="C40" s="1"/>
      <c r="D40" s="1"/>
      <c r="E40" s="1"/>
      <c r="F40" s="1"/>
      <c r="G40" s="1"/>
    </row>
    <row r="41" spans="1:7" ht="15.75" customHeight="1" x14ac:dyDescent="0.25">
      <c r="A41" s="1"/>
      <c r="B41" s="1"/>
      <c r="C41" s="1"/>
      <c r="D41" s="1"/>
      <c r="E41" s="1"/>
      <c r="F41" s="1"/>
      <c r="G41" s="1"/>
    </row>
    <row r="42" spans="1:7" ht="15.75" customHeight="1" x14ac:dyDescent="0.25">
      <c r="A42" s="1"/>
      <c r="B42" s="1"/>
      <c r="C42" s="1"/>
      <c r="D42" s="1"/>
      <c r="E42" s="1"/>
      <c r="F42" s="1"/>
      <c r="G42" s="1"/>
    </row>
    <row r="43" spans="1:7" ht="15.75" customHeight="1" x14ac:dyDescent="0.25">
      <c r="A43" s="1"/>
      <c r="B43" s="1"/>
      <c r="C43" s="1"/>
      <c r="D43" s="1"/>
      <c r="E43" s="1"/>
      <c r="F43" s="1"/>
      <c r="G43" s="1"/>
    </row>
    <row r="44" spans="1:7" ht="15.75" customHeight="1" x14ac:dyDescent="0.25">
      <c r="A44" s="1"/>
      <c r="B44" s="1"/>
      <c r="C44" s="1"/>
      <c r="D44" s="1"/>
      <c r="E44" s="1"/>
      <c r="F44" s="1"/>
      <c r="G44" s="1"/>
    </row>
    <row r="45" spans="1:7" ht="15.75" customHeight="1" x14ac:dyDescent="0.25">
      <c r="A45" s="1"/>
      <c r="B45" s="1"/>
      <c r="C45" s="1"/>
      <c r="D45" s="1"/>
      <c r="E45" s="1"/>
      <c r="F45" s="1"/>
      <c r="G45" s="1"/>
    </row>
    <row r="46" spans="1:7" ht="15.75" customHeight="1" x14ac:dyDescent="0.25">
      <c r="A46" s="1"/>
      <c r="B46" s="1"/>
      <c r="C46" s="1"/>
      <c r="D46" s="1"/>
      <c r="E46" s="1"/>
      <c r="F46" s="1"/>
      <c r="G46" s="1"/>
    </row>
    <row r="47" spans="1:7" ht="15.75" customHeight="1" x14ac:dyDescent="0.25">
      <c r="A47" s="1"/>
      <c r="B47" s="1"/>
      <c r="C47" s="1"/>
      <c r="D47" s="1"/>
      <c r="E47" s="1"/>
      <c r="F47" s="1"/>
      <c r="G47" s="1"/>
    </row>
    <row r="48" spans="1:7" ht="15.75" hidden="1" customHeight="1" x14ac:dyDescent="0.25">
      <c r="A48" s="42"/>
      <c r="B48" s="42"/>
      <c r="C48" s="42"/>
      <c r="D48" s="42"/>
      <c r="E48" s="42"/>
      <c r="F48" s="42"/>
      <c r="G48" s="42"/>
    </row>
    <row r="49" spans="1:7" hidden="1" x14ac:dyDescent="0.25">
      <c r="A49" s="42"/>
      <c r="B49" s="42"/>
      <c r="C49" s="42"/>
      <c r="D49" s="42"/>
      <c r="E49" s="42"/>
      <c r="F49" s="42"/>
      <c r="G49" s="42"/>
    </row>
    <row r="50" spans="1:7" hidden="1" x14ac:dyDescent="0.25"/>
  </sheetData>
  <sheetProtection algorithmName="SHA-512" hashValue="760/aGV3uHS8oAhv3wV5fBolMOklXQ4hrFCpD2QWoRpXb7OoXnHjG3WAzmXwHoI/SGTff8y3+HeErzyJs/C2yw==" saltValue="pKRlKYaq77Ug1cbU/tlyPg==" spinCount="100000" sheet="1" objects="1" scenarios="1"/>
  <customSheetViews>
    <customSheetView guid="{7883F868-47B4-41A3-8E47-78C5A61242C9}" showPageBreaks="1" showGridLines="0" view="pageLayout">
      <selection activeCell="I21" sqref="I21"/>
      <pageMargins left="0.71875" right="0.7" top="0.75" bottom="0.75" header="0.3" footer="0.3"/>
      <pageSetup paperSize="9" orientation="portrait" r:id="rId1"/>
    </customSheetView>
  </customSheetViews>
  <mergeCells count="19">
    <mergeCell ref="C13:F13"/>
    <mergeCell ref="C6:F7"/>
    <mergeCell ref="C18:F18"/>
    <mergeCell ref="C10:F10"/>
    <mergeCell ref="C8:F8"/>
    <mergeCell ref="C14:F14"/>
    <mergeCell ref="C15:F15"/>
    <mergeCell ref="C12:F12"/>
    <mergeCell ref="C16:F16"/>
    <mergeCell ref="C26:F26"/>
    <mergeCell ref="C27:F27"/>
    <mergeCell ref="C17:F17"/>
    <mergeCell ref="C21:F21"/>
    <mergeCell ref="C22:F22"/>
    <mergeCell ref="C25:F25"/>
    <mergeCell ref="C23:F23"/>
    <mergeCell ref="C24:F24"/>
    <mergeCell ref="C19:F19"/>
    <mergeCell ref="C20:F20"/>
  </mergeCells>
  <hyperlinks>
    <hyperlink ref="C22:F22" location="'Fane 9.1. Varige tillæg'!A1" display="Varige tillæg" xr:uid="{00000000-0004-0000-0000-000000000000}"/>
    <hyperlink ref="C25:F25" location="'Fane 11. Tilknyttet virksomhed'!A1" display="Tilknyttet virksomhed" xr:uid="{00000000-0004-0000-0000-000001000000}"/>
    <hyperlink ref="C26:F26" location="'Fane 12. Bortfald'!A1" display="Bortfald" xr:uid="{00000000-0004-0000-0000-000002000000}"/>
    <hyperlink ref="C12:F12" location="'Fane 2.1. Økonomisk ramme 2025'!A1" display="Samlet økonomisk ramme for 2025" xr:uid="{00000000-0004-0000-0000-000003000000}"/>
    <hyperlink ref="C15:F15" location="'Fane 2.4. Økonomisk ramme 2028'!A1" display="Vejledende økonomisk ramme for 2028" xr:uid="{00000000-0004-0000-0000-000004000000}"/>
    <hyperlink ref="C14:F14" location="'Fane 2.3. Økonomisk ramme 2027'!A1" display="Vejledende økonomisk ramme for 2027" xr:uid="{00000000-0004-0000-0000-000005000000}"/>
    <hyperlink ref="C17:F17" location="'Fane 4. Ikke-påvirkelige omk.'!A1" display="Ikke-påvirkelige omkostninger" xr:uid="{00000000-0004-0000-0000-000006000000}"/>
    <hyperlink ref="C18:F18" location="'Fane 5. Kontrol af ØR2022'!A1" display="Kontrol af den økonomiske ramme for 2022" xr:uid="{00000000-0004-0000-0000-000007000000}"/>
    <hyperlink ref="C21:F21" location="'Fane 8. Anlægsprojekter (§ 19)'!A1" display="Anlægsprojekter (§ 19)" xr:uid="{00000000-0004-0000-0000-000008000000}"/>
    <hyperlink ref="C27:F27" location="'Fane 13. Nøgletal'!A1" display="Nøgletal" xr:uid="{00000000-0004-0000-0000-000009000000}"/>
    <hyperlink ref="C16:F16" location="'Fane 3. Omkostninger i ØR2024'!A1" display="Omkostninger i ØR2024" xr:uid="{00000000-0004-0000-0000-00000A000000}"/>
    <hyperlink ref="C23:F23" location="'Fane 9.2. Engangstillæg'!A1" display="Engangstillæg" xr:uid="{00000000-0004-0000-0000-00000B000000}"/>
    <hyperlink ref="C24:F24" location="'Fane 10. Periodevise driftsomk.'!A1" display="Periodevise driftsomkostninger" xr:uid="{00000000-0004-0000-0000-00000C000000}"/>
    <hyperlink ref="C19:F19" location="'Fane 6. Korrektion af ØR2023'!A1" display="Korrektion af den økonomiske ramme for 2023" xr:uid="{00000000-0004-0000-0000-00000D000000}"/>
    <hyperlink ref="C13:F13" location="'Fane 2.2. Økonomisk ramme 2026'!A1" display="Vejledende økonomisk ramme for 2026" xr:uid="{00000000-0004-0000-0000-00000E000000}"/>
    <hyperlink ref="C20:F20" location="'Fane 7. Skattesagen'!A1" display="Skattesagen" xr:uid="{00000000-0004-0000-0000-00000F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7"/>
  <dimension ref="A1:E50"/>
  <sheetViews>
    <sheetView zoomScaleNormal="100" workbookViewId="0"/>
  </sheetViews>
  <sheetFormatPr defaultColWidth="0" defaultRowHeight="15" zeroHeight="1" x14ac:dyDescent="0.25"/>
  <cols>
    <col min="1" max="1" width="5.28515625" style="40" customWidth="1"/>
    <col min="2" max="2" width="57.140625" style="40" customWidth="1"/>
    <col min="3" max="3" width="12.5703125" style="40" customWidth="1"/>
    <col min="4" max="4" width="3.140625" style="40" customWidth="1"/>
    <col min="5" max="5" width="5.28515625" style="40" customWidth="1"/>
    <col min="6" max="16384" width="9.140625" style="40" hidden="1"/>
  </cols>
  <sheetData>
    <row r="1" spans="1:5" x14ac:dyDescent="0.25">
      <c r="A1" s="1"/>
      <c r="B1" s="1"/>
      <c r="C1" s="1"/>
      <c r="D1" s="1"/>
      <c r="E1" s="1"/>
    </row>
    <row r="2" spans="1:5" x14ac:dyDescent="0.25">
      <c r="A2" s="1"/>
      <c r="B2" s="1"/>
      <c r="C2" s="1"/>
      <c r="D2" s="1"/>
      <c r="E2" s="1"/>
    </row>
    <row r="3" spans="1:5" ht="15" customHeight="1" x14ac:dyDescent="0.25">
      <c r="A3" s="1"/>
      <c r="B3" s="94" t="s">
        <v>85</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86</v>
      </c>
      <c r="C8" s="99"/>
      <c r="D8" s="100"/>
      <c r="E8" s="1"/>
    </row>
    <row r="9" spans="1:5" ht="15" customHeight="1" x14ac:dyDescent="0.25">
      <c r="A9" s="1"/>
      <c r="B9" s="108" t="s">
        <v>87</v>
      </c>
      <c r="C9" s="109"/>
      <c r="D9" s="110"/>
      <c r="E9" s="1"/>
    </row>
    <row r="10" spans="1:5" x14ac:dyDescent="0.25">
      <c r="A10" s="1"/>
      <c r="B10" s="58" t="s">
        <v>88</v>
      </c>
      <c r="C10" s="43">
        <v>0</v>
      </c>
      <c r="D10" s="8" t="s">
        <v>3</v>
      </c>
      <c r="E10" s="1"/>
    </row>
    <row r="11" spans="1:5" x14ac:dyDescent="0.25">
      <c r="A11" s="1"/>
      <c r="B11" s="58" t="s">
        <v>89</v>
      </c>
      <c r="C11" s="43">
        <v>0</v>
      </c>
      <c r="D11" s="8" t="s">
        <v>3</v>
      </c>
      <c r="E11" s="1"/>
    </row>
    <row r="12" spans="1:5" x14ac:dyDescent="0.25">
      <c r="A12" s="1"/>
      <c r="B12" s="58" t="s">
        <v>90</v>
      </c>
      <c r="C12" s="8">
        <v>0</v>
      </c>
      <c r="D12" s="8" t="s">
        <v>3</v>
      </c>
      <c r="E12" s="1"/>
    </row>
    <row r="13" spans="1:5" x14ac:dyDescent="0.25">
      <c r="A13" s="1"/>
      <c r="B13" s="58" t="s">
        <v>91</v>
      </c>
      <c r="C13" s="8">
        <v>0</v>
      </c>
      <c r="D13" s="8" t="s">
        <v>3</v>
      </c>
      <c r="E13" s="1"/>
    </row>
    <row r="14" spans="1:5" x14ac:dyDescent="0.25">
      <c r="A14" s="1"/>
      <c r="B14" s="58" t="s">
        <v>92</v>
      </c>
      <c r="C14" s="8">
        <v>0</v>
      </c>
      <c r="D14" s="8" t="s">
        <v>3</v>
      </c>
      <c r="E14" s="1"/>
    </row>
    <row r="15" spans="1:5" x14ac:dyDescent="0.25">
      <c r="A15" s="1"/>
      <c r="B15" s="58" t="s">
        <v>93</v>
      </c>
      <c r="C15" s="8">
        <v>0</v>
      </c>
      <c r="D15" s="8" t="s">
        <v>3</v>
      </c>
      <c r="E15" s="1"/>
    </row>
    <row r="16" spans="1:5" x14ac:dyDescent="0.25">
      <c r="A16" s="1"/>
      <c r="B16" s="58" t="s">
        <v>94</v>
      </c>
      <c r="C16" s="8">
        <v>0</v>
      </c>
      <c r="D16" s="8" t="s">
        <v>3</v>
      </c>
      <c r="E16" s="1"/>
    </row>
    <row r="17" spans="1:5" x14ac:dyDescent="0.25">
      <c r="A17" s="1"/>
      <c r="B17" s="58" t="s">
        <v>95</v>
      </c>
      <c r="C17" s="8">
        <v>0</v>
      </c>
      <c r="D17" s="8" t="s">
        <v>3</v>
      </c>
      <c r="E17" s="1"/>
    </row>
    <row r="18" spans="1:5" x14ac:dyDescent="0.25">
      <c r="A18" s="1"/>
      <c r="B18" s="67" t="s">
        <v>96</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NRQg5PzksiqeiQpxJUQP/p51byEsyISb3TDW1UCgO7BXAoBuGHdyTmsO6w1/7qU7lwQqryIwTf6BFjek8EURBw==" saltValue="QMPPMPWY334U+kTj6JEZ+w==" spinCount="100000" sheet="1" objects="1" scenarios="1"/>
  <customSheetViews>
    <customSheetView guid="{7883F868-47B4-41A3-8E47-78C5A61242C9}" showPageBreaks="1" view="pageLayout" topLeftCell="A13">
      <selection activeCell="F23" sqref="F23"/>
      <pageMargins left="0.7" right="0.7" top="0.75" bottom="0.75" header="0.3" footer="0.3"/>
      <pageSetup paperSize="9" orientation="portrait" r:id="rId1"/>
    </customSheetView>
  </customSheetViews>
  <mergeCells count="3">
    <mergeCell ref="B3:D4"/>
    <mergeCell ref="B8:D8"/>
    <mergeCell ref="B9:D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0"/>
  <dimension ref="A1:L53"/>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97</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79</v>
      </c>
      <c r="C8" s="99"/>
      <c r="D8" s="99"/>
      <c r="E8" s="99"/>
      <c r="F8" s="99"/>
      <c r="G8" s="99"/>
      <c r="H8" s="99"/>
      <c r="I8" s="99"/>
      <c r="J8" s="99"/>
      <c r="K8" s="100"/>
      <c r="L8" s="1"/>
    </row>
    <row r="9" spans="1:12" ht="39.75" customHeight="1" x14ac:dyDescent="0.25">
      <c r="A9" s="1"/>
      <c r="B9" s="16" t="s">
        <v>0</v>
      </c>
      <c r="C9" s="16" t="s">
        <v>1</v>
      </c>
      <c r="D9" s="111" t="s">
        <v>84</v>
      </c>
      <c r="E9" s="112"/>
      <c r="F9" s="111" t="s">
        <v>2</v>
      </c>
      <c r="G9" s="112"/>
      <c r="H9" s="111" t="s">
        <v>83</v>
      </c>
      <c r="I9" s="112"/>
      <c r="J9" s="111" t="s">
        <v>22</v>
      </c>
      <c r="K9" s="112"/>
      <c r="L9" s="1"/>
    </row>
    <row r="10" spans="1:12" x14ac:dyDescent="0.25">
      <c r="A10" s="1"/>
      <c r="B10" s="58" t="s">
        <v>172</v>
      </c>
      <c r="C10" s="61">
        <v>0</v>
      </c>
      <c r="D10" s="8">
        <v>0</v>
      </c>
      <c r="E10" s="12" t="s">
        <v>3</v>
      </c>
      <c r="F10" s="8">
        <f>IFERROR(D10/C10,0)</f>
        <v>0</v>
      </c>
      <c r="G10" s="12" t="s">
        <v>3</v>
      </c>
      <c r="H10" s="8">
        <v>0</v>
      </c>
      <c r="I10" s="12" t="s">
        <v>3</v>
      </c>
      <c r="J10" s="8">
        <v>0</v>
      </c>
      <c r="K10" s="12" t="s">
        <v>3</v>
      </c>
      <c r="L10" s="1"/>
    </row>
    <row r="11" spans="1:12" x14ac:dyDescent="0.25">
      <c r="A11" s="1"/>
      <c r="B11" s="74" t="s">
        <v>169</v>
      </c>
      <c r="C11" s="20"/>
      <c r="D11" s="20"/>
      <c r="E11" s="75"/>
      <c r="F11" s="10">
        <f>SUM(F10:F10)</f>
        <v>0</v>
      </c>
      <c r="G11" s="10" t="s">
        <v>3</v>
      </c>
      <c r="H11" s="10">
        <f>SUM(H10:H10)</f>
        <v>0</v>
      </c>
      <c r="I11" s="10"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2"/>
      <c r="B47" s="42"/>
      <c r="C47" s="42"/>
      <c r="D47" s="42"/>
      <c r="E47" s="42"/>
      <c r="F47" s="42"/>
      <c r="G47" s="42"/>
      <c r="H47" s="42"/>
      <c r="I47" s="42"/>
      <c r="J47" s="42"/>
      <c r="K47" s="42"/>
      <c r="L47" s="42"/>
    </row>
    <row r="48" spans="1:12" hidden="1" x14ac:dyDescent="0.25">
      <c r="A48" s="42"/>
      <c r="B48" s="42"/>
      <c r="C48" s="42"/>
      <c r="D48" s="42"/>
      <c r="E48" s="42"/>
      <c r="F48" s="42"/>
      <c r="G48" s="42"/>
      <c r="H48" s="42"/>
      <c r="I48" s="42"/>
      <c r="J48" s="42"/>
      <c r="K48" s="42"/>
      <c r="L48" s="42"/>
    </row>
    <row r="49" hidden="1" x14ac:dyDescent="0.25"/>
    <row r="50" hidden="1" x14ac:dyDescent="0.25"/>
    <row r="51" hidden="1" x14ac:dyDescent="0.25"/>
    <row r="52" hidden="1" x14ac:dyDescent="0.25"/>
    <row r="53" hidden="1" x14ac:dyDescent="0.25"/>
  </sheetData>
  <sheetProtection algorithmName="SHA-512" hashValue="Fs0cheXWIjRqykIsICeiMmCpFZysobDwjluJJicoLYbcFJLifLNWR9xX6WwGffG/8yZCEMdJc5p7FcS0Q9Jokw==" saltValue="iJCvVa8xdGr8pf9NFC91yg==" spinCount="100000" sheet="1" objects="1" scenarios="1"/>
  <customSheetViews>
    <customSheetView guid="{7883F868-47B4-41A3-8E47-78C5A61242C9}" showPageBreaks="1" showGridLines="0" view="pageLayout" topLeftCell="A13">
      <selection activeCell="F21" sqref="F21"/>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98</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4" t="s">
        <v>29</v>
      </c>
      <c r="C8" s="20"/>
      <c r="D8" s="20"/>
      <c r="E8" s="20"/>
      <c r="F8" s="75"/>
      <c r="G8" s="1"/>
    </row>
    <row r="9" spans="1:7" ht="17.25" customHeight="1" x14ac:dyDescent="0.25">
      <c r="A9" s="1"/>
      <c r="B9" s="71" t="s">
        <v>16</v>
      </c>
      <c r="C9" s="53" t="s">
        <v>10</v>
      </c>
      <c r="D9" s="72"/>
      <c r="E9" s="53" t="s">
        <v>23</v>
      </c>
      <c r="F9" s="27"/>
      <c r="G9" s="1"/>
    </row>
    <row r="10" spans="1:7" x14ac:dyDescent="0.25">
      <c r="A10" s="1"/>
      <c r="B10" s="19" t="s">
        <v>82</v>
      </c>
      <c r="C10" s="18">
        <f>'Fane 8. Anlægsprojekter (§ 19)'!H11</f>
        <v>0</v>
      </c>
      <c r="D10" s="12" t="s">
        <v>3</v>
      </c>
      <c r="E10" s="8">
        <f>SUM('Fane 8. Anlægsprojekter (§ 19)'!F11,'Fane 8.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74" t="s">
        <v>114</v>
      </c>
      <c r="C16" s="10">
        <f>SUM(C10:C15)</f>
        <v>0</v>
      </c>
      <c r="D16" s="11" t="s">
        <v>3</v>
      </c>
      <c r="E16" s="10">
        <f>SUM(E10:E15)</f>
        <v>0</v>
      </c>
      <c r="F16" s="11" t="s">
        <v>3</v>
      </c>
      <c r="G16" s="1"/>
    </row>
    <row r="17" spans="1:7" x14ac:dyDescent="0.25">
      <c r="A17" s="1"/>
      <c r="B17" s="74" t="s">
        <v>140</v>
      </c>
      <c r="C17" s="10">
        <f>C16*(1+'Fane 13. Nøgletal'!C10)</f>
        <v>0</v>
      </c>
      <c r="D17" s="11" t="s">
        <v>3</v>
      </c>
      <c r="E17" s="10">
        <f>E16*(1+'Fane 13. Nøgletal'!C10)</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2"/>
      <c r="B51" s="42"/>
      <c r="C51" s="42"/>
      <c r="D51" s="42"/>
      <c r="E51" s="42"/>
      <c r="F51" s="42"/>
      <c r="G51" s="42"/>
    </row>
    <row r="52" spans="1:7" hidden="1" x14ac:dyDescent="0.25">
      <c r="A52" s="42"/>
      <c r="B52" s="42"/>
      <c r="C52" s="42"/>
      <c r="D52" s="42"/>
      <c r="E52" s="42"/>
      <c r="F52" s="42"/>
      <c r="G52" s="42"/>
    </row>
    <row r="53" spans="1:7" hidden="1" x14ac:dyDescent="0.25">
      <c r="A53" s="42"/>
      <c r="B53" s="42"/>
      <c r="C53" s="42"/>
      <c r="D53" s="42"/>
      <c r="E53" s="42"/>
      <c r="F53" s="42"/>
      <c r="G53" s="42"/>
    </row>
    <row r="54" spans="1:7" hidden="1" x14ac:dyDescent="0.25"/>
  </sheetData>
  <sheetProtection algorithmName="SHA-512" hashValue="IAp9/LmdBAN3gkpdNKRk+Andz108u0G5AjgvQEGobzuMvi0p21wESxT3YOgafsB4C+w1U/eKUxRTC4aJlmz81g==" saltValue="3eYSmPrCuNUuCj+I4F8edQ==" spinCount="100000" sheet="1" objects="1" scenarios="1"/>
  <customSheetViews>
    <customSheetView guid="{7883F868-47B4-41A3-8E47-78C5A61242C9}" showPageBreaks="1" showGridLines="0" view="pageLayout" topLeftCell="A25">
      <selection activeCell="C16" sqref="C16"/>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99</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141</v>
      </c>
      <c r="C8" s="99"/>
      <c r="D8" s="99"/>
      <c r="E8" s="99"/>
      <c r="F8" s="100"/>
      <c r="G8" s="1"/>
    </row>
    <row r="9" spans="1:7" x14ac:dyDescent="0.25">
      <c r="A9" s="1"/>
      <c r="B9" s="71" t="s">
        <v>16</v>
      </c>
      <c r="C9" s="53" t="s">
        <v>10</v>
      </c>
      <c r="D9" s="72"/>
      <c r="E9" s="53" t="s">
        <v>23</v>
      </c>
      <c r="F9" s="27"/>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74" t="s">
        <v>142</v>
      </c>
      <c r="C12" s="10">
        <f>SUM(C10:C11)</f>
        <v>0</v>
      </c>
      <c r="D12" s="11" t="s">
        <v>3</v>
      </c>
      <c r="E12" s="10">
        <f>SUM(E10:E11)</f>
        <v>0</v>
      </c>
      <c r="F12" s="11" t="s">
        <v>3</v>
      </c>
      <c r="G12" s="1"/>
    </row>
    <row r="13" spans="1:7" x14ac:dyDescent="0.25">
      <c r="A13" s="1"/>
      <c r="B13" s="74" t="s">
        <v>143</v>
      </c>
      <c r="C13" s="10">
        <f>C12*(1+'Fane 13. Nøgletal'!C10)^2</f>
        <v>0</v>
      </c>
      <c r="D13" s="11" t="s">
        <v>3</v>
      </c>
      <c r="E13" s="10">
        <f>E12*(1+'Fane 13. Nøgletal'!C10)^2</f>
        <v>0</v>
      </c>
      <c r="F13" s="11" t="s">
        <v>3</v>
      </c>
      <c r="G13" s="1"/>
    </row>
    <row r="14" spans="1:7" x14ac:dyDescent="0.25">
      <c r="A14" s="1"/>
      <c r="B14" s="1"/>
      <c r="C14" s="1"/>
      <c r="D14" s="1"/>
      <c r="E14" s="1"/>
      <c r="F14" s="1"/>
      <c r="G14" s="1"/>
    </row>
    <row r="15" spans="1:7" x14ac:dyDescent="0.25">
      <c r="A15" s="1"/>
      <c r="B15" s="113"/>
      <c r="C15" s="113"/>
      <c r="D15" s="113"/>
      <c r="E15" s="113"/>
      <c r="F15" s="113"/>
      <c r="G15" s="1"/>
    </row>
    <row r="16" spans="1:7" x14ac:dyDescent="0.25">
      <c r="A16" s="1"/>
      <c r="B16" s="29"/>
      <c r="C16" s="29"/>
      <c r="D16" s="29"/>
      <c r="E16" s="29"/>
      <c r="F16" s="30"/>
      <c r="G16" s="1"/>
    </row>
    <row r="17" spans="1:7" x14ac:dyDescent="0.25">
      <c r="A17" s="1"/>
      <c r="B17" s="31"/>
      <c r="C17" s="32"/>
      <c r="D17" s="33"/>
      <c r="E17" s="32"/>
      <c r="F17" s="33"/>
      <c r="G17" s="1"/>
    </row>
    <row r="18" spans="1:7" x14ac:dyDescent="0.25">
      <c r="A18" s="1"/>
      <c r="B18" s="31"/>
      <c r="C18" s="32"/>
      <c r="D18" s="33"/>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4"/>
      <c r="C21" s="35"/>
      <c r="D21" s="36"/>
      <c r="E21" s="35"/>
      <c r="F21" s="36"/>
      <c r="G21" s="1"/>
    </row>
    <row r="22" spans="1:7" x14ac:dyDescent="0.25">
      <c r="A22" s="1"/>
      <c r="B22" s="37"/>
      <c r="C22" s="37"/>
      <c r="D22" s="37"/>
      <c r="E22" s="37"/>
      <c r="F22" s="37"/>
      <c r="G22" s="1"/>
    </row>
    <row r="23" spans="1:7" x14ac:dyDescent="0.25">
      <c r="A23" s="1"/>
      <c r="B23" s="113"/>
      <c r="C23" s="113"/>
      <c r="D23" s="113"/>
      <c r="E23" s="113"/>
      <c r="F23" s="113"/>
      <c r="G23" s="1"/>
    </row>
    <row r="24" spans="1:7" x14ac:dyDescent="0.25">
      <c r="A24" s="1"/>
      <c r="B24" s="29"/>
      <c r="C24" s="29"/>
      <c r="D24" s="29"/>
      <c r="E24" s="29"/>
      <c r="F24" s="30"/>
      <c r="G24" s="1"/>
    </row>
    <row r="25" spans="1:7" x14ac:dyDescent="0.25">
      <c r="A25" s="1"/>
      <c r="B25" s="31"/>
      <c r="C25" s="32"/>
      <c r="D25" s="33"/>
      <c r="E25" s="32"/>
      <c r="F25" s="33"/>
      <c r="G25" s="1"/>
    </row>
    <row r="26" spans="1:7" x14ac:dyDescent="0.25">
      <c r="A26" s="1"/>
      <c r="B26" s="31"/>
      <c r="C26" s="32"/>
      <c r="D26" s="33"/>
      <c r="E26" s="32"/>
      <c r="F26" s="33"/>
      <c r="G26" s="1"/>
    </row>
    <row r="27" spans="1:7" x14ac:dyDescent="0.25">
      <c r="A27" s="1"/>
      <c r="B27" s="34"/>
      <c r="C27" s="35"/>
      <c r="D27" s="36"/>
      <c r="E27" s="35"/>
      <c r="F27" s="36"/>
      <c r="G27" s="1"/>
    </row>
    <row r="28" spans="1:7" x14ac:dyDescent="0.25">
      <c r="A28" s="1"/>
      <c r="B28" s="34"/>
      <c r="C28" s="35"/>
      <c r="D28" s="36"/>
      <c r="E28" s="35"/>
      <c r="F28" s="36"/>
      <c r="G28" s="1"/>
    </row>
    <row r="29" spans="1:7" x14ac:dyDescent="0.25">
      <c r="A29" s="1"/>
      <c r="B29" s="37"/>
      <c r="C29" s="37"/>
      <c r="D29" s="37"/>
      <c r="E29" s="37"/>
      <c r="F29" s="37"/>
      <c r="G29" s="1"/>
    </row>
    <row r="30" spans="1:7" x14ac:dyDescent="0.25">
      <c r="A30" s="1"/>
      <c r="B30" s="113"/>
      <c r="C30" s="113"/>
      <c r="D30" s="113"/>
      <c r="E30" s="113"/>
      <c r="F30" s="113"/>
      <c r="G30" s="1"/>
    </row>
    <row r="31" spans="1:7" x14ac:dyDescent="0.25">
      <c r="A31" s="1"/>
      <c r="B31" s="29"/>
      <c r="C31" s="29"/>
      <c r="D31" s="29"/>
      <c r="E31" s="29"/>
      <c r="F31" s="30"/>
      <c r="G31" s="1"/>
    </row>
    <row r="32" spans="1:7" x14ac:dyDescent="0.25">
      <c r="A32" s="1"/>
      <c r="B32" s="31"/>
      <c r="C32" s="32"/>
      <c r="D32" s="33"/>
      <c r="E32" s="32"/>
      <c r="F32" s="33"/>
      <c r="G32" s="1"/>
    </row>
    <row r="33" spans="1:7" x14ac:dyDescent="0.25">
      <c r="A33" s="1"/>
      <c r="B33" s="31"/>
      <c r="C33" s="32"/>
      <c r="D33" s="33"/>
      <c r="E33" s="32"/>
      <c r="F33" s="33"/>
      <c r="G33" s="1"/>
    </row>
    <row r="34" spans="1:7" x14ac:dyDescent="0.25">
      <c r="A34" s="1"/>
      <c r="B34" s="34"/>
      <c r="C34" s="35"/>
      <c r="D34" s="36"/>
      <c r="E34" s="35"/>
      <c r="F34" s="36"/>
      <c r="G34" s="1"/>
    </row>
    <row r="35" spans="1:7" x14ac:dyDescent="0.25">
      <c r="A35" s="1"/>
      <c r="B35" s="34"/>
      <c r="C35" s="35"/>
      <c r="D35" s="36"/>
      <c r="E35" s="35"/>
      <c r="F35" s="36"/>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pwoIP1e94u4mZmYh7x8gB9IeGEEW7N977qz6mqtRyFpwnOlkp58mLic6w5Sj1ZKAbfv15GAhb3NHLgj3NT5acw==" saltValue="gkZQ/y8nXkbwQwt59g2kKg==" spinCount="100000" sheet="1" objects="1" scenarios="1"/>
  <customSheetViews>
    <customSheetView guid="{7883F868-47B4-41A3-8E47-78C5A61242C9}" showPageBreaks="1" showGridLines="0" view="pageLayout" topLeftCell="A31">
      <selection activeCell="E14" sqref="E14"/>
      <pageMargins left="0.7" right="0.7" top="0.75" bottom="0.75" header="0.3" footer="0.3"/>
      <pageSetup paperSize="9" orientation="portrait" r:id="rId1"/>
    </customSheetView>
  </customSheetViews>
  <mergeCells count="5">
    <mergeCell ref="B30:F30"/>
    <mergeCell ref="B3:F4"/>
    <mergeCell ref="B8:F8"/>
    <mergeCell ref="B23:F23"/>
    <mergeCell ref="B15:F1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100</v>
      </c>
      <c r="C3" s="96"/>
      <c r="D3" s="96"/>
      <c r="E3" s="1"/>
    </row>
    <row r="4" spans="1:5" ht="15" customHeight="1" x14ac:dyDescent="0.25">
      <c r="A4" s="1"/>
      <c r="B4" s="96"/>
      <c r="C4" s="96"/>
      <c r="D4" s="96"/>
      <c r="E4" s="1"/>
    </row>
    <row r="5" spans="1:5" x14ac:dyDescent="0.25">
      <c r="A5" s="1"/>
      <c r="B5" s="96"/>
      <c r="C5" s="96"/>
      <c r="D5" s="96"/>
      <c r="E5" s="1"/>
    </row>
    <row r="6" spans="1:5" x14ac:dyDescent="0.25">
      <c r="A6" s="1"/>
      <c r="B6" s="1"/>
      <c r="C6" s="1"/>
      <c r="D6" s="1"/>
      <c r="E6" s="1"/>
    </row>
    <row r="7" spans="1:5" x14ac:dyDescent="0.25">
      <c r="A7" s="1"/>
      <c r="B7" s="1"/>
      <c r="C7" s="1"/>
      <c r="D7" s="1"/>
      <c r="E7" s="1"/>
    </row>
    <row r="8" spans="1:5" x14ac:dyDescent="0.25">
      <c r="A8" s="1"/>
      <c r="B8" s="98" t="s">
        <v>64</v>
      </c>
      <c r="C8" s="99"/>
      <c r="D8" s="100"/>
      <c r="E8" s="1"/>
    </row>
    <row r="9" spans="1:5" x14ac:dyDescent="0.25">
      <c r="A9" s="1"/>
      <c r="B9" s="58" t="s">
        <v>163</v>
      </c>
      <c r="C9" s="8">
        <v>0</v>
      </c>
      <c r="D9" s="12" t="s">
        <v>3</v>
      </c>
      <c r="E9" s="1"/>
    </row>
    <row r="10" spans="1:5" x14ac:dyDescent="0.25">
      <c r="A10" s="1"/>
      <c r="B10" s="52" t="s">
        <v>41</v>
      </c>
      <c r="C10" s="8">
        <f>-C9*'Fane 13. Nøgletal'!$C$15</f>
        <v>0</v>
      </c>
      <c r="D10" s="12" t="s">
        <v>3</v>
      </c>
      <c r="E10" s="1"/>
    </row>
    <row r="11" spans="1:5" x14ac:dyDescent="0.25">
      <c r="A11" s="1"/>
      <c r="B11" s="67" t="s">
        <v>65</v>
      </c>
      <c r="C11" s="10">
        <f>SUM(C9:C10)*(1+'Fane 13. Nøgletal'!$C$9)^3</f>
        <v>0</v>
      </c>
      <c r="D11" s="11" t="s">
        <v>3</v>
      </c>
      <c r="E11" s="1"/>
    </row>
    <row r="12" spans="1:5" x14ac:dyDescent="0.25">
      <c r="A12" s="1"/>
      <c r="B12" s="1"/>
      <c r="C12" s="48"/>
      <c r="D12" s="1"/>
      <c r="E12" s="1"/>
    </row>
    <row r="13" spans="1:5" x14ac:dyDescent="0.25">
      <c r="A13" s="1"/>
      <c r="B13" s="98" t="s">
        <v>77</v>
      </c>
      <c r="C13" s="99"/>
      <c r="D13" s="100"/>
      <c r="E13" s="1"/>
    </row>
    <row r="14" spans="1:5" x14ac:dyDescent="0.25">
      <c r="A14" s="1"/>
      <c r="B14" s="58" t="s">
        <v>144</v>
      </c>
      <c r="C14" s="8">
        <v>0</v>
      </c>
      <c r="D14" s="12" t="s">
        <v>3</v>
      </c>
      <c r="E14" s="1"/>
    </row>
    <row r="15" spans="1:5" x14ac:dyDescent="0.25">
      <c r="A15" s="1"/>
      <c r="B15" s="52" t="s">
        <v>41</v>
      </c>
      <c r="C15" s="8">
        <f>-C14*'Fane 13. Nøgletal'!$C$15</f>
        <v>0</v>
      </c>
      <c r="D15" s="12" t="s">
        <v>3</v>
      </c>
      <c r="E15" s="1"/>
    </row>
    <row r="16" spans="1:5" x14ac:dyDescent="0.25">
      <c r="A16" s="1"/>
      <c r="B16" s="67" t="s">
        <v>78</v>
      </c>
      <c r="C16" s="10">
        <f>SUM(C14:C15)*(1+'Fane 13. Nøgletal'!$C$10)^3</f>
        <v>0</v>
      </c>
      <c r="D16" s="11" t="s">
        <v>3</v>
      </c>
      <c r="E16" s="1"/>
    </row>
    <row r="17" spans="1:5" x14ac:dyDescent="0.25">
      <c r="A17" s="1"/>
      <c r="B17" s="1"/>
      <c r="C17" s="1"/>
      <c r="D17" s="1"/>
      <c r="E17" s="1"/>
    </row>
    <row r="18" spans="1:5" ht="15" customHeight="1" x14ac:dyDescent="0.25">
      <c r="A18" s="1"/>
      <c r="B18" s="98" t="s">
        <v>112</v>
      </c>
      <c r="C18" s="99"/>
      <c r="D18" s="100"/>
      <c r="E18" s="1"/>
    </row>
    <row r="19" spans="1:5" ht="14.25" customHeight="1" x14ac:dyDescent="0.25">
      <c r="A19" s="1"/>
      <c r="B19" s="58" t="s">
        <v>144</v>
      </c>
      <c r="C19" s="8">
        <v>0</v>
      </c>
      <c r="D19" s="12" t="s">
        <v>3</v>
      </c>
      <c r="E19" s="1"/>
    </row>
    <row r="20" spans="1:5" x14ac:dyDescent="0.25">
      <c r="A20" s="1"/>
      <c r="B20" s="52" t="s">
        <v>41</v>
      </c>
      <c r="C20" s="8">
        <f>-C19*'Fane 13. Nøgletal'!$C$15</f>
        <v>0</v>
      </c>
      <c r="D20" s="12" t="s">
        <v>3</v>
      </c>
      <c r="E20" s="1"/>
    </row>
    <row r="21" spans="1:5" x14ac:dyDescent="0.25">
      <c r="A21" s="1"/>
      <c r="B21" s="67" t="s">
        <v>113</v>
      </c>
      <c r="C21" s="10">
        <f>SUM(C19:C20)*(1+'Fane 13. Nøgletal'!$C$10)^4</f>
        <v>0</v>
      </c>
      <c r="D21" s="11" t="s">
        <v>3</v>
      </c>
      <c r="E21" s="1"/>
    </row>
    <row r="22" spans="1:5" x14ac:dyDescent="0.25">
      <c r="A22" s="1"/>
      <c r="B22" s="1"/>
      <c r="C22" s="1"/>
      <c r="D22" s="1"/>
      <c r="E22" s="1"/>
    </row>
    <row r="23" spans="1:5" x14ac:dyDescent="0.25">
      <c r="A23" s="1"/>
      <c r="B23" s="98" t="s">
        <v>145</v>
      </c>
      <c r="C23" s="99"/>
      <c r="D23" s="100"/>
      <c r="E23" s="1"/>
    </row>
    <row r="24" spans="1:5" x14ac:dyDescent="0.25">
      <c r="A24" s="1"/>
      <c r="B24" s="58" t="s">
        <v>144</v>
      </c>
      <c r="C24" s="43">
        <v>0</v>
      </c>
      <c r="D24" s="12" t="s">
        <v>3</v>
      </c>
      <c r="E24" s="1"/>
    </row>
    <row r="25" spans="1:5" x14ac:dyDescent="0.25">
      <c r="A25" s="1"/>
      <c r="B25" s="52" t="s">
        <v>41</v>
      </c>
      <c r="C25" s="8">
        <f>-C24*'Fane 13. Nøgletal'!$C$15</f>
        <v>0</v>
      </c>
      <c r="D25" s="12" t="s">
        <v>3</v>
      </c>
      <c r="E25" s="1"/>
    </row>
    <row r="26" spans="1:5" x14ac:dyDescent="0.25">
      <c r="A26" s="1"/>
      <c r="B26" s="67" t="s">
        <v>146</v>
      </c>
      <c r="C26" s="10">
        <f>SUM(C24:C25)*(1+'Fane 13. Nøgletal'!$C$10)^5</f>
        <v>0</v>
      </c>
      <c r="D26" s="11" t="s">
        <v>3</v>
      </c>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EmdN3RkWNvy2YzZly1uFQDxDz4QrdfOLGvM4sTi4QbATDIojzWvIkXOoJa/tp6kmZa76TfiKHHBO+hgvtFqYw==" saltValue="c3qn7ZJmhRvRlHLcP/fY/g==" spinCount="100000" sheet="1" objects="1" scenarios="1"/>
  <customSheetViews>
    <customSheetView guid="{7883F868-47B4-41A3-8E47-78C5A61242C9}" scale="95" showPageBreaks="1" showGridLines="0" view="pageLayout" topLeftCell="A28">
      <selection activeCell="A47" sqref="A47:G50"/>
      <pageMargins left="0.7" right="0.7" top="0.75" bottom="0.75" header="0.3" footer="0.3"/>
      <pageSetup paperSize="9" orientation="portrait" r:id="rId1"/>
    </customSheetView>
  </customSheetViews>
  <mergeCells count="5">
    <mergeCell ref="B18:D18"/>
    <mergeCell ref="B3:D5"/>
    <mergeCell ref="B8:D8"/>
    <mergeCell ref="B13:D13"/>
    <mergeCell ref="B23:D23"/>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5"/>
  <dimension ref="A1:G49"/>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101</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98" t="s">
        <v>55</v>
      </c>
      <c r="C8" s="99"/>
      <c r="D8" s="99"/>
      <c r="E8" s="99"/>
      <c r="F8" s="100"/>
      <c r="G8" s="1"/>
    </row>
    <row r="9" spans="1:7" ht="15" customHeight="1" x14ac:dyDescent="0.25">
      <c r="A9" s="1"/>
      <c r="B9" s="26" t="s">
        <v>56</v>
      </c>
      <c r="C9" s="114" t="s">
        <v>10</v>
      </c>
      <c r="D9" s="115"/>
      <c r="E9" s="114" t="s">
        <v>23</v>
      </c>
      <c r="F9" s="115"/>
      <c r="G9" s="1"/>
    </row>
    <row r="10" spans="1:7" ht="26.25" x14ac:dyDescent="0.25">
      <c r="A10" s="1"/>
      <c r="B10" s="60" t="s">
        <v>170</v>
      </c>
      <c r="C10" s="8">
        <v>0</v>
      </c>
      <c r="D10" s="12" t="s">
        <v>3</v>
      </c>
      <c r="E10" s="8">
        <v>0</v>
      </c>
      <c r="F10" s="12" t="s">
        <v>3</v>
      </c>
      <c r="G10" s="1"/>
    </row>
    <row r="11" spans="1:7" ht="28.5" customHeight="1" x14ac:dyDescent="0.25">
      <c r="A11" s="1"/>
      <c r="B11" s="17" t="s">
        <v>115</v>
      </c>
      <c r="C11" s="10">
        <f>SUM(C10:C10)</f>
        <v>0</v>
      </c>
      <c r="D11" s="11" t="s">
        <v>3</v>
      </c>
      <c r="E11" s="10">
        <f>SUM(E10:E10)</f>
        <v>0</v>
      </c>
      <c r="F11" s="11" t="s">
        <v>3</v>
      </c>
      <c r="G11" s="1"/>
    </row>
    <row r="12" spans="1:7" ht="27" customHeight="1" x14ac:dyDescent="0.25">
      <c r="A12" s="1"/>
      <c r="B12" s="17" t="s">
        <v>147</v>
      </c>
      <c r="C12" s="10">
        <f>C11*(1+'Fane 13. Nøgletal'!C10)</f>
        <v>0</v>
      </c>
      <c r="D12" s="11" t="s">
        <v>3</v>
      </c>
      <c r="E12" s="10">
        <f>E11*(1+'Fane 13. Nøgletal'!C10)</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hidden="1" x14ac:dyDescent="0.25"/>
  </sheetData>
  <sheetProtection algorithmName="SHA-512" hashValue="dDwZv6+MODZOE0mMO/BaVvBOa0Yxda7unKtuX6nIXM+lquu+YAK6hjk20iSVX1T3JqzokHA2e1AKDG6Kp9vCQg==" saltValue="ui40X7kBWpra6chzwMR+4Q==" spinCount="100000" sheet="1" objects="1" scenarios="1"/>
  <customSheetViews>
    <customSheetView guid="{7883F868-47B4-41A3-8E47-78C5A61242C9}" showPageBreaks="1" showGridLines="0" view="pageLayout">
      <selection activeCell="E13" sqref="E13"/>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102</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98" t="s">
        <v>148</v>
      </c>
      <c r="C8" s="99"/>
      <c r="D8" s="99"/>
      <c r="E8" s="99"/>
      <c r="F8" s="100"/>
      <c r="G8" s="1"/>
    </row>
    <row r="9" spans="1:7" ht="15" customHeight="1" x14ac:dyDescent="0.25">
      <c r="A9" s="1"/>
      <c r="B9" s="26" t="s">
        <v>17</v>
      </c>
      <c r="C9" s="73" t="s">
        <v>10</v>
      </c>
      <c r="D9" s="27"/>
      <c r="E9" s="73" t="s">
        <v>23</v>
      </c>
      <c r="F9" s="27"/>
      <c r="G9" s="1"/>
    </row>
    <row r="10" spans="1:7" x14ac:dyDescent="0.25">
      <c r="A10" s="1"/>
      <c r="B10" s="60" t="s">
        <v>171</v>
      </c>
      <c r="C10" s="8">
        <v>0</v>
      </c>
      <c r="D10" s="12" t="s">
        <v>3</v>
      </c>
      <c r="E10" s="8">
        <v>0</v>
      </c>
      <c r="F10" s="12" t="s">
        <v>3</v>
      </c>
      <c r="G10" s="1"/>
    </row>
    <row r="11" spans="1:7" x14ac:dyDescent="0.25">
      <c r="A11" s="1"/>
      <c r="B11" s="74" t="s">
        <v>116</v>
      </c>
      <c r="C11" s="10">
        <f>SUM(C10:C10)</f>
        <v>0</v>
      </c>
      <c r="D11" s="11" t="s">
        <v>3</v>
      </c>
      <c r="E11" s="10">
        <f>SUM(E10:E10)</f>
        <v>0</v>
      </c>
      <c r="F11" s="11" t="s">
        <v>3</v>
      </c>
      <c r="G11" s="1"/>
    </row>
    <row r="12" spans="1:7" x14ac:dyDescent="0.25">
      <c r="A12" s="1"/>
      <c r="B12" s="74" t="s">
        <v>164</v>
      </c>
      <c r="C12" s="10">
        <f>C11*(1+'Fane 13. Nøgletal'!C10)^2</f>
        <v>0</v>
      </c>
      <c r="D12" s="11" t="s">
        <v>3</v>
      </c>
      <c r="E12" s="10">
        <f>E11*(1+'Fane 13. Nøgletal'!C10)^2</f>
        <v>0</v>
      </c>
      <c r="F12" s="11" t="s">
        <v>3</v>
      </c>
      <c r="G12" s="1"/>
    </row>
    <row r="13" spans="1:7" x14ac:dyDescent="0.25">
      <c r="A13" s="1"/>
      <c r="B13" s="1"/>
      <c r="C13" s="1"/>
      <c r="D13" s="1"/>
      <c r="E13" s="1"/>
      <c r="F13" s="1"/>
      <c r="G13" s="1"/>
    </row>
    <row r="14" spans="1:7" x14ac:dyDescent="0.25">
      <c r="A14" s="1"/>
      <c r="B14" s="113"/>
      <c r="C14" s="113"/>
      <c r="D14" s="113"/>
      <c r="E14" s="113"/>
      <c r="F14" s="113"/>
      <c r="G14" s="1"/>
    </row>
    <row r="15" spans="1:7" ht="15" customHeight="1" x14ac:dyDescent="0.25">
      <c r="A15" s="1"/>
      <c r="B15" s="30"/>
      <c r="C15" s="30"/>
      <c r="D15" s="30"/>
      <c r="E15" s="30"/>
      <c r="F15" s="30"/>
      <c r="G15" s="1"/>
    </row>
    <row r="16" spans="1:7" x14ac:dyDescent="0.25">
      <c r="A16" s="1"/>
      <c r="B16" s="31"/>
      <c r="C16" s="38"/>
      <c r="D16" s="33"/>
      <c r="E16" s="38"/>
      <c r="F16" s="33"/>
      <c r="G16" s="1"/>
    </row>
    <row r="17" spans="1:7" x14ac:dyDescent="0.25">
      <c r="A17" s="1"/>
      <c r="B17" s="31"/>
      <c r="C17" s="38"/>
      <c r="D17" s="33"/>
      <c r="E17" s="38"/>
      <c r="F17" s="33"/>
      <c r="G17" s="1"/>
    </row>
    <row r="18" spans="1:7" x14ac:dyDescent="0.25">
      <c r="A18" s="1"/>
      <c r="B18" s="34"/>
      <c r="C18" s="35"/>
      <c r="D18" s="36"/>
      <c r="E18" s="35"/>
      <c r="F18" s="36"/>
      <c r="G18" s="1"/>
    </row>
    <row r="19" spans="1:7" x14ac:dyDescent="0.25">
      <c r="A19" s="1"/>
      <c r="B19" s="34"/>
      <c r="C19" s="35"/>
      <c r="D19" s="36"/>
      <c r="E19" s="35"/>
      <c r="F19" s="36"/>
      <c r="G19" s="1"/>
    </row>
    <row r="20" spans="1:7" x14ac:dyDescent="0.25">
      <c r="A20" s="1"/>
      <c r="B20" s="37"/>
      <c r="C20" s="37"/>
      <c r="D20" s="37"/>
      <c r="E20" s="37"/>
      <c r="F20" s="37"/>
      <c r="G20" s="1"/>
    </row>
    <row r="21" spans="1:7" x14ac:dyDescent="0.25">
      <c r="A21" s="1"/>
      <c r="B21" s="113"/>
      <c r="C21" s="113"/>
      <c r="D21" s="113"/>
      <c r="E21" s="113"/>
      <c r="F21" s="113"/>
      <c r="G21" s="1"/>
    </row>
    <row r="22" spans="1:7" ht="15" customHeight="1" x14ac:dyDescent="0.25">
      <c r="A22" s="1"/>
      <c r="B22" s="30"/>
      <c r="C22" s="30"/>
      <c r="D22" s="30"/>
      <c r="E22" s="30"/>
      <c r="F22" s="30"/>
      <c r="G22" s="1"/>
    </row>
    <row r="23" spans="1:7" x14ac:dyDescent="0.25">
      <c r="A23" s="1"/>
      <c r="B23" s="31"/>
      <c r="C23" s="38"/>
      <c r="D23" s="33"/>
      <c r="E23" s="38"/>
      <c r="F23" s="33"/>
      <c r="G23" s="1"/>
    </row>
    <row r="24" spans="1:7" x14ac:dyDescent="0.25">
      <c r="A24" s="1"/>
      <c r="B24" s="34"/>
      <c r="C24" s="35"/>
      <c r="D24" s="36"/>
      <c r="E24" s="35"/>
      <c r="F24" s="36"/>
      <c r="G24" s="1"/>
    </row>
    <row r="25" spans="1:7" x14ac:dyDescent="0.25">
      <c r="A25" s="1"/>
      <c r="B25" s="34"/>
      <c r="C25" s="35"/>
      <c r="D25" s="36"/>
      <c r="E25" s="35"/>
      <c r="F25" s="36"/>
      <c r="G25" s="1"/>
    </row>
    <row r="26" spans="1:7" x14ac:dyDescent="0.25">
      <c r="A26" s="1"/>
      <c r="B26" s="37"/>
      <c r="C26" s="37"/>
      <c r="D26" s="37"/>
      <c r="E26" s="37"/>
      <c r="F26" s="37"/>
      <c r="G26" s="1"/>
    </row>
    <row r="27" spans="1:7" x14ac:dyDescent="0.25">
      <c r="A27" s="1"/>
      <c r="B27" s="113"/>
      <c r="C27" s="113"/>
      <c r="D27" s="113"/>
      <c r="E27" s="113"/>
      <c r="F27" s="113"/>
      <c r="G27" s="1"/>
    </row>
    <row r="28" spans="1:7" ht="15" customHeight="1" x14ac:dyDescent="0.25">
      <c r="A28" s="1"/>
      <c r="B28" s="30"/>
      <c r="C28" s="30"/>
      <c r="D28" s="30"/>
      <c r="E28" s="30"/>
      <c r="F28" s="30"/>
      <c r="G28" s="1"/>
    </row>
    <row r="29" spans="1:7" x14ac:dyDescent="0.25">
      <c r="A29" s="1"/>
      <c r="B29" s="31"/>
      <c r="C29" s="38"/>
      <c r="D29" s="33"/>
      <c r="E29" s="38"/>
      <c r="F29" s="33"/>
      <c r="G29" s="1"/>
    </row>
    <row r="30" spans="1:7" x14ac:dyDescent="0.25">
      <c r="A30" s="1"/>
      <c r="B30" s="34"/>
      <c r="C30" s="35"/>
      <c r="D30" s="36"/>
      <c r="E30" s="35"/>
      <c r="F30" s="36"/>
      <c r="G30" s="1"/>
    </row>
    <row r="31" spans="1:7" x14ac:dyDescent="0.25">
      <c r="A31" s="1"/>
      <c r="B31" s="34"/>
      <c r="C31" s="35"/>
      <c r="D31" s="36"/>
      <c r="E31" s="35"/>
      <c r="F31" s="3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XSfqP5ymVJkLhWIEhKE2rJU2T3RpEy/lZRMghFgm0ZmbtDDb/ly7OOUdYcxehXCrU3oI5kAyTJ6ZtSLmGmNmyA==" saltValue="kHsREXYjJnCXmv3KJsW5Rg==" spinCount="100000" sheet="1" objects="1" scenarios="1"/>
  <customSheetViews>
    <customSheetView guid="{7883F868-47B4-41A3-8E47-78C5A61242C9}" showPageBreaks="1" showGridLines="0" view="pageLayout">
      <selection activeCell="C13" sqref="C13"/>
      <pageMargins left="0.7" right="0.7" top="0.75" bottom="0.75" header="0.3" footer="0.3"/>
      <pageSetup paperSize="9" orientation="portrait" r:id="rId1"/>
    </customSheetView>
  </customSheetViews>
  <mergeCells count="5">
    <mergeCell ref="B27:F27"/>
    <mergeCell ref="B8:F8"/>
    <mergeCell ref="B14:F14"/>
    <mergeCell ref="B21:F21"/>
    <mergeCell ref="B3:F5"/>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6"/>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6" t="s">
        <v>103</v>
      </c>
      <c r="C3" s="96"/>
      <c r="D3" s="1"/>
    </row>
    <row r="4" spans="1:4" ht="15" customHeight="1" x14ac:dyDescent="0.25">
      <c r="A4" s="1"/>
      <c r="B4" s="96"/>
      <c r="C4" s="9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4" t="s">
        <v>13</v>
      </c>
      <c r="C8" s="75"/>
      <c r="D8" s="1"/>
    </row>
    <row r="9" spans="1:4" x14ac:dyDescent="0.25">
      <c r="A9" s="1"/>
      <c r="B9" s="49" t="s">
        <v>165</v>
      </c>
      <c r="C9" s="44">
        <v>8.0799999999999997E-2</v>
      </c>
      <c r="D9" s="1"/>
    </row>
    <row r="10" spans="1:4" x14ac:dyDescent="0.25">
      <c r="A10" s="1"/>
      <c r="B10" s="49" t="s">
        <v>174</v>
      </c>
      <c r="C10" s="44">
        <v>6.6299999999999998E-2</v>
      </c>
      <c r="D10" s="1"/>
    </row>
    <row r="11" spans="1:4" x14ac:dyDescent="0.25">
      <c r="A11" s="1"/>
      <c r="B11" s="74"/>
      <c r="C11" s="75"/>
      <c r="D11" s="1"/>
    </row>
    <row r="12" spans="1:4" x14ac:dyDescent="0.25">
      <c r="A12" s="1"/>
      <c r="B12" s="1"/>
      <c r="C12" s="1"/>
      <c r="D12" s="1"/>
    </row>
    <row r="13" spans="1:4" x14ac:dyDescent="0.25">
      <c r="A13" s="1"/>
      <c r="B13" s="1"/>
      <c r="C13" s="1"/>
      <c r="D13" s="1"/>
    </row>
    <row r="14" spans="1:4" x14ac:dyDescent="0.25">
      <c r="A14" s="1"/>
      <c r="B14" s="74" t="s">
        <v>41</v>
      </c>
      <c r="C14" s="75"/>
      <c r="D14" s="1"/>
    </row>
    <row r="15" spans="1:4" x14ac:dyDescent="0.25">
      <c r="A15" s="1"/>
      <c r="B15" s="21" t="s">
        <v>49</v>
      </c>
      <c r="C15" s="45">
        <v>1.7000000000000001E-2</v>
      </c>
      <c r="D15" s="1"/>
    </row>
    <row r="16" spans="1:4" x14ac:dyDescent="0.25">
      <c r="A16" s="1"/>
      <c r="B16" s="116"/>
      <c r="C16" s="117"/>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QuRcfSDMlvlGdWIRUOYgzFyqoRS+UDgPVyeitL4qA7yP+HsWw7ekuH/q3MatG7Fh9kiqeevt8ebFoxDoQzUXdA==" saltValue="uwq8aQ83L7GNcC+YtIxjxQ==" spinCount="100000" sheet="1" objects="1" scenarios="1"/>
  <customSheetViews>
    <customSheetView guid="{7883F868-47B4-41A3-8E47-78C5A61242C9}" scale="87" showPageBreaks="1" showGridLines="0" view="pageLayout">
      <selection activeCell="B3" sqref="B3:C4"/>
      <pageMargins left="0.8125" right="0.7" top="0.75" bottom="0.75" header="0.3" footer="0.3"/>
      <pageSetup paperSize="9" orientation="portrait" r:id="rId1"/>
    </customSheetView>
  </customSheetViews>
  <mergeCells count="2">
    <mergeCell ref="B3:C4"/>
    <mergeCell ref="B16:C16"/>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94" t="s">
        <v>122</v>
      </c>
      <c r="C3" s="94"/>
      <c r="D3" s="94"/>
      <c r="E3" s="1"/>
    </row>
    <row r="4" spans="1:5" ht="15" customHeight="1" x14ac:dyDescent="0.25">
      <c r="A4" s="1"/>
      <c r="B4" s="94"/>
      <c r="C4" s="94"/>
      <c r="D4" s="94"/>
      <c r="E4" s="1"/>
    </row>
    <row r="5" spans="1:5" ht="15" customHeight="1" x14ac:dyDescent="0.25">
      <c r="A5" s="1"/>
      <c r="B5" s="64"/>
      <c r="C5" s="64"/>
      <c r="D5" s="64"/>
      <c r="E5" s="1"/>
    </row>
    <row r="6" spans="1:5" ht="15" customHeight="1" x14ac:dyDescent="0.25">
      <c r="A6" s="1"/>
      <c r="B6" s="64"/>
      <c r="C6" s="64"/>
      <c r="D6" s="64"/>
      <c r="E6" s="1"/>
    </row>
    <row r="7" spans="1:5" x14ac:dyDescent="0.25">
      <c r="A7" s="1"/>
      <c r="B7" s="1"/>
      <c r="C7" s="1"/>
      <c r="D7" s="1"/>
      <c r="E7" s="1"/>
    </row>
    <row r="8" spans="1:5" x14ac:dyDescent="0.25">
      <c r="A8" s="1"/>
      <c r="B8" s="24" t="s">
        <v>12</v>
      </c>
      <c r="C8" s="24"/>
      <c r="D8" s="24"/>
      <c r="E8" s="1"/>
    </row>
    <row r="9" spans="1:5" x14ac:dyDescent="0.25">
      <c r="A9" s="1"/>
      <c r="B9" s="50" t="s">
        <v>61</v>
      </c>
      <c r="C9" s="7">
        <f>'Fane 3. Omkostninger i ØR2024'!$C$15</f>
        <v>20740033.31914331</v>
      </c>
      <c r="D9" s="50" t="s">
        <v>3</v>
      </c>
      <c r="E9" s="1"/>
    </row>
    <row r="10" spans="1:5" ht="17.100000000000001" customHeight="1" x14ac:dyDescent="0.25">
      <c r="A10" s="1"/>
      <c r="B10" s="22" t="s">
        <v>50</v>
      </c>
      <c r="C10" s="7">
        <f>'Fane 9.1. Varige tillæg'!C17+'Fane 9.1. Varige tillæg'!E17</f>
        <v>0</v>
      </c>
      <c r="D10" s="50" t="s">
        <v>3</v>
      </c>
      <c r="E10" s="1"/>
    </row>
    <row r="11" spans="1:5" ht="17.100000000000001" customHeight="1" x14ac:dyDescent="0.25">
      <c r="A11" s="1"/>
      <c r="B11" s="22" t="s">
        <v>51</v>
      </c>
      <c r="C11" s="8">
        <f>-('Fane 12. Bortfald'!C12+'Fane 12. Bortfald'!E12)</f>
        <v>0</v>
      </c>
      <c r="D11" s="50" t="s">
        <v>3</v>
      </c>
      <c r="E11" s="1"/>
    </row>
    <row r="12" spans="1:5" ht="17.100000000000001" customHeight="1" x14ac:dyDescent="0.25">
      <c r="A12" s="1"/>
      <c r="B12" s="22" t="s">
        <v>53</v>
      </c>
      <c r="C12" s="8">
        <f>'Fane 11. Tilknyttet virksomhed'!C12+'Fane 11. Tilknyttet virksomhed'!E12</f>
        <v>0</v>
      </c>
      <c r="D12" s="50" t="s">
        <v>3</v>
      </c>
      <c r="E12" s="1"/>
    </row>
    <row r="13" spans="1:5" ht="17.100000000000001" customHeight="1" x14ac:dyDescent="0.25">
      <c r="A13" s="1"/>
      <c r="B13" s="22" t="s">
        <v>18</v>
      </c>
      <c r="C13" s="8">
        <f>C9*'Fane 13. Nøgletal'!C9+SUM(C10+C12)*'Fane 13. Nøgletal'!C10</f>
        <v>1675794.6921867793</v>
      </c>
      <c r="D13" s="50" t="s">
        <v>3</v>
      </c>
      <c r="E13" s="1"/>
    </row>
    <row r="14" spans="1:5" ht="17.100000000000001" customHeight="1" x14ac:dyDescent="0.25">
      <c r="A14" s="1"/>
      <c r="B14" s="22" t="s">
        <v>41</v>
      </c>
      <c r="C14" s="8">
        <f>-SUM(C9,C10:C13)*'Fane 13. Nøgletal'!C15</f>
        <v>-381069.07619261154</v>
      </c>
      <c r="D14" s="50" t="s">
        <v>3</v>
      </c>
      <c r="E14" s="46"/>
    </row>
    <row r="15" spans="1:5" ht="15" customHeight="1" x14ac:dyDescent="0.25">
      <c r="A15" s="1"/>
      <c r="B15" s="55" t="s">
        <v>20</v>
      </c>
      <c r="C15" s="9">
        <f>SUM(C9,C10:C14)</f>
        <v>22034758.93513748</v>
      </c>
      <c r="D15" s="25" t="s">
        <v>3</v>
      </c>
      <c r="E15" s="1"/>
    </row>
    <row r="16" spans="1:5" ht="15" customHeight="1" x14ac:dyDescent="0.25">
      <c r="A16" s="1"/>
      <c r="B16" s="24" t="s">
        <v>11</v>
      </c>
      <c r="C16" s="24"/>
      <c r="D16" s="24"/>
      <c r="E16" s="1"/>
    </row>
    <row r="17" spans="1:5" ht="15" customHeight="1" x14ac:dyDescent="0.25">
      <c r="A17" s="1"/>
      <c r="B17" s="25" t="s">
        <v>11</v>
      </c>
      <c r="C17" s="9">
        <f>'Fane 4. Ikke-påvirkelige omk.'!C20+'Fane 4. Ikke-påvirkelige omk.'!C24+'Fane 4. Ikke-påvirkelige omk.'!C32</f>
        <v>5793785.2584554404</v>
      </c>
      <c r="D17" s="25" t="s">
        <v>3</v>
      </c>
      <c r="E17" s="1"/>
    </row>
    <row r="18" spans="1:5" ht="15" customHeight="1" x14ac:dyDescent="0.25">
      <c r="A18" s="1"/>
      <c r="B18" s="24" t="s">
        <v>35</v>
      </c>
      <c r="C18" s="24"/>
      <c r="D18" s="24"/>
      <c r="E18" s="1"/>
    </row>
    <row r="19" spans="1:5" ht="15" customHeight="1" x14ac:dyDescent="0.25">
      <c r="A19" s="1"/>
      <c r="B19" s="55" t="s">
        <v>35</v>
      </c>
      <c r="C19" s="9">
        <f>'Fane 10. Periodevise driftsomk.'!C11</f>
        <v>0</v>
      </c>
      <c r="D19" s="25" t="s">
        <v>3</v>
      </c>
      <c r="E19" s="1"/>
    </row>
    <row r="20" spans="1:5" ht="15" customHeight="1" x14ac:dyDescent="0.25">
      <c r="A20" s="1"/>
      <c r="B20" s="24" t="s">
        <v>34</v>
      </c>
      <c r="C20" s="24"/>
      <c r="D20" s="24"/>
      <c r="E20" s="1"/>
    </row>
    <row r="21" spans="1:5" ht="15" customHeight="1" x14ac:dyDescent="0.25">
      <c r="A21" s="1"/>
      <c r="B21" s="22" t="s">
        <v>30</v>
      </c>
      <c r="C21" s="8">
        <f>'Fane 9.2. Engangstillæg'!C13</f>
        <v>0</v>
      </c>
      <c r="D21" s="50" t="s">
        <v>3</v>
      </c>
      <c r="E21" s="1"/>
    </row>
    <row r="22" spans="1:5" x14ac:dyDescent="0.25">
      <c r="A22" s="1"/>
      <c r="B22" s="22" t="s">
        <v>31</v>
      </c>
      <c r="C22" s="8">
        <f>'Fane 9.2. Engangstillæg'!E13</f>
        <v>0</v>
      </c>
      <c r="D22" s="50" t="s">
        <v>3</v>
      </c>
      <c r="E22" s="1"/>
    </row>
    <row r="23" spans="1:5" x14ac:dyDescent="0.25">
      <c r="A23" s="1"/>
      <c r="B23" s="22" t="s">
        <v>80</v>
      </c>
      <c r="C23" s="8">
        <f>-SUM(C21:C22)*'Fane 13. Nøgletal'!C15</f>
        <v>0</v>
      </c>
      <c r="D23" s="50" t="s">
        <v>3</v>
      </c>
      <c r="E23" s="1"/>
    </row>
    <row r="24" spans="1:5" ht="15" customHeight="1" x14ac:dyDescent="0.25">
      <c r="A24" s="1"/>
      <c r="B24" s="55" t="s">
        <v>36</v>
      </c>
      <c r="C24" s="9">
        <f>SUM(C21:C23)</f>
        <v>0</v>
      </c>
      <c r="D24" s="25" t="s">
        <v>3</v>
      </c>
      <c r="E24" s="1"/>
    </row>
    <row r="25" spans="1:5" x14ac:dyDescent="0.25">
      <c r="A25" s="1"/>
      <c r="B25" s="24" t="s">
        <v>58</v>
      </c>
      <c r="C25" s="24"/>
      <c r="D25" s="24"/>
      <c r="E25" s="1"/>
    </row>
    <row r="26" spans="1:5" x14ac:dyDescent="0.25">
      <c r="A26" s="1"/>
      <c r="B26" s="55" t="s">
        <v>57</v>
      </c>
      <c r="C26" s="9">
        <f>'Fane 5. Kontrol af ØR2023'!C28</f>
        <v>-114492.18104844913</v>
      </c>
      <c r="D26" s="25" t="s">
        <v>3</v>
      </c>
      <c r="E26" s="1"/>
    </row>
    <row r="27" spans="1:5" x14ac:dyDescent="0.25">
      <c r="A27" s="1"/>
      <c r="B27" s="24" t="s">
        <v>60</v>
      </c>
      <c r="C27" s="24"/>
      <c r="D27" s="24"/>
      <c r="E27" s="1"/>
    </row>
    <row r="28" spans="1:5" x14ac:dyDescent="0.25">
      <c r="A28" s="1"/>
      <c r="B28" s="25" t="s">
        <v>121</v>
      </c>
      <c r="C28" s="9">
        <f>'Fane 6. Korrektion af ØR2023'!C16</f>
        <v>-36496</v>
      </c>
      <c r="D28" s="25" t="s">
        <v>3</v>
      </c>
      <c r="E28" s="1"/>
    </row>
    <row r="29" spans="1:5" x14ac:dyDescent="0.25">
      <c r="A29" s="1"/>
      <c r="B29" s="24" t="s">
        <v>67</v>
      </c>
      <c r="C29" s="24"/>
      <c r="D29" s="24"/>
      <c r="E29" s="1"/>
    </row>
    <row r="30" spans="1:5" x14ac:dyDescent="0.25">
      <c r="A30" s="1"/>
      <c r="B30" s="55" t="s">
        <v>68</v>
      </c>
      <c r="C30" s="9">
        <f>'Fane 7. Skattesagen'!C14</f>
        <v>0</v>
      </c>
      <c r="D30" s="25" t="s">
        <v>3</v>
      </c>
      <c r="E30" s="1"/>
    </row>
    <row r="31" spans="1:5" x14ac:dyDescent="0.25">
      <c r="A31" s="1"/>
      <c r="B31" s="24" t="s">
        <v>62</v>
      </c>
      <c r="C31" s="10">
        <f>SUM(C15,C17,C19,C24,C26,C28,C30)</f>
        <v>27677556.012544472</v>
      </c>
      <c r="D31" s="11" t="s">
        <v>3</v>
      </c>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hidden="1" x14ac:dyDescent="0.25"/>
  </sheetData>
  <sheetProtection algorithmName="SHA-512" hashValue="4duBwHgv8WG2ssJgItUN/XIlXm8rZVva0eGwg8cowoa5M1f8LbbKDQRoN+jPvWtsPW78JYnVNQi/PPyDbe2Opw==" saltValue="hZrDtAtd+nWPx5lqlxiz6A==" spinCount="100000" sheet="1" objects="1" scenarios="1"/>
  <customSheetViews>
    <customSheetView guid="{7883F868-47B4-41A3-8E47-78C5A61242C9}" showPageBreaks="1" showGridLines="0" hiddenRows="1" hiddenColumns="1">
      <selection activeCell="B39" sqref="B39"/>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123</v>
      </c>
      <c r="C3" s="94"/>
      <c r="D3" s="94"/>
      <c r="E3" s="1"/>
    </row>
    <row r="4" spans="1:5" ht="15" customHeight="1" x14ac:dyDescent="0.25">
      <c r="A4" s="1"/>
      <c r="B4" s="94"/>
      <c r="C4" s="94"/>
      <c r="D4" s="94"/>
      <c r="E4" s="1"/>
    </row>
    <row r="5" spans="1:5" x14ac:dyDescent="0.25">
      <c r="A5" s="1"/>
      <c r="B5" s="95" t="s">
        <v>66</v>
      </c>
      <c r="C5" s="95"/>
      <c r="D5" s="95"/>
      <c r="E5" s="1"/>
    </row>
    <row r="6" spans="1:5" x14ac:dyDescent="0.25">
      <c r="A6" s="1"/>
      <c r="B6" s="1"/>
      <c r="C6" s="1"/>
      <c r="D6" s="1"/>
      <c r="E6" s="1"/>
    </row>
    <row r="7" spans="1:5" x14ac:dyDescent="0.25">
      <c r="A7" s="1"/>
      <c r="B7" s="1"/>
      <c r="C7" s="1"/>
      <c r="D7" s="1"/>
      <c r="E7" s="1"/>
    </row>
    <row r="8" spans="1:5" x14ac:dyDescent="0.25">
      <c r="A8" s="1"/>
      <c r="B8" s="24" t="s">
        <v>12</v>
      </c>
      <c r="C8" s="24"/>
      <c r="D8" s="24"/>
      <c r="E8" s="1"/>
    </row>
    <row r="9" spans="1:5" ht="15" customHeight="1" x14ac:dyDescent="0.25">
      <c r="A9" s="1"/>
      <c r="B9" s="50" t="s">
        <v>74</v>
      </c>
      <c r="C9" s="7">
        <f>'Fane 2.1. Økonomisk ramme 2025'!C15</f>
        <v>22034758.93513748</v>
      </c>
      <c r="D9" s="50" t="s">
        <v>3</v>
      </c>
      <c r="E9" s="1"/>
    </row>
    <row r="10" spans="1:5" ht="15" customHeight="1" x14ac:dyDescent="0.25">
      <c r="A10" s="1"/>
      <c r="B10" s="39" t="s">
        <v>18</v>
      </c>
      <c r="C10" s="8">
        <f>C9*'Fane 13. Nøgletal'!C10</f>
        <v>1460904.5173996149</v>
      </c>
      <c r="D10" s="50" t="s">
        <v>3</v>
      </c>
      <c r="E10" s="1"/>
    </row>
    <row r="11" spans="1:5" ht="15" customHeight="1" x14ac:dyDescent="0.25">
      <c r="A11" s="1"/>
      <c r="B11" s="39" t="s">
        <v>41</v>
      </c>
      <c r="C11" s="8">
        <f>-SUM(C9,C10)*'Fane 13. Nøgletal'!C15</f>
        <v>-399426.27869313071</v>
      </c>
      <c r="D11" s="50" t="s">
        <v>3</v>
      </c>
      <c r="E11" s="1"/>
    </row>
    <row r="12" spans="1:5" ht="15" customHeight="1" x14ac:dyDescent="0.25">
      <c r="A12" s="1"/>
      <c r="B12" s="51" t="s">
        <v>20</v>
      </c>
      <c r="C12" s="9">
        <f>SUM(C9:C11)</f>
        <v>23096237.173843965</v>
      </c>
      <c r="D12" s="25" t="s">
        <v>3</v>
      </c>
      <c r="E12" s="1"/>
    </row>
    <row r="13" spans="1:5" x14ac:dyDescent="0.25">
      <c r="A13" s="1"/>
      <c r="B13" s="24" t="s">
        <v>11</v>
      </c>
      <c r="C13" s="24"/>
      <c r="D13" s="24"/>
      <c r="E13" s="1"/>
    </row>
    <row r="14" spans="1:5" ht="15" customHeight="1" x14ac:dyDescent="0.25">
      <c r="A14" s="1"/>
      <c r="B14" s="25" t="s">
        <v>11</v>
      </c>
      <c r="C14" s="9">
        <f>'Fane 4. Ikke-påvirkelige omk.'!C20*(1+'Fane 13. Nøgletal'!C10)+'Fane 4. Ikke-påvirkelige omk.'!C25+'Fane 4. Ikke-påvirkelige omk.'!C33</f>
        <v>5372709.7944910359</v>
      </c>
      <c r="D14" s="25" t="s">
        <v>3</v>
      </c>
      <c r="E14" s="1"/>
    </row>
    <row r="15" spans="1:5" ht="15" customHeight="1" x14ac:dyDescent="0.25">
      <c r="A15" s="1"/>
      <c r="B15" s="24" t="s">
        <v>35</v>
      </c>
      <c r="C15" s="24"/>
      <c r="D15" s="24"/>
      <c r="E15" s="1"/>
    </row>
    <row r="16" spans="1:5" ht="15" customHeight="1" x14ac:dyDescent="0.25">
      <c r="A16" s="1"/>
      <c r="B16" s="55" t="s">
        <v>35</v>
      </c>
      <c r="C16" s="9">
        <f>'Fane 10. Periodevise driftsomk.'!C11</f>
        <v>0</v>
      </c>
      <c r="D16" s="25" t="s">
        <v>3</v>
      </c>
      <c r="E16" s="1"/>
    </row>
    <row r="17" spans="1:5" x14ac:dyDescent="0.25">
      <c r="A17" s="1"/>
      <c r="B17" s="24" t="s">
        <v>58</v>
      </c>
      <c r="C17" s="24"/>
      <c r="D17" s="24"/>
      <c r="E17" s="1"/>
    </row>
    <row r="18" spans="1:5" x14ac:dyDescent="0.25">
      <c r="A18" s="1"/>
      <c r="B18" s="55" t="s">
        <v>57</v>
      </c>
      <c r="C18" s="9">
        <f>'Fane 5. Kontrol af ØR2023'!C34</f>
        <v>-947298.92214340903</v>
      </c>
      <c r="D18" s="25" t="s">
        <v>3</v>
      </c>
      <c r="E18" s="1"/>
    </row>
    <row r="19" spans="1:5" x14ac:dyDescent="0.25">
      <c r="A19" s="1"/>
      <c r="B19" s="24" t="s">
        <v>67</v>
      </c>
      <c r="C19" s="24"/>
      <c r="D19" s="24"/>
      <c r="E19" s="1"/>
    </row>
    <row r="20" spans="1:5" x14ac:dyDescent="0.25">
      <c r="A20" s="1"/>
      <c r="B20" s="55" t="s">
        <v>68</v>
      </c>
      <c r="C20" s="9">
        <f>'Fane 7. Skattesagen'!C15</f>
        <v>0</v>
      </c>
      <c r="D20" s="25" t="s">
        <v>3</v>
      </c>
      <c r="E20" s="1"/>
    </row>
    <row r="21" spans="1:5" x14ac:dyDescent="0.25">
      <c r="A21" s="1"/>
      <c r="B21" s="24" t="s">
        <v>75</v>
      </c>
      <c r="C21" s="10">
        <f>SUM(C12,C14,C16,C18,C20)</f>
        <v>27521648.046191595</v>
      </c>
      <c r="D21" s="11"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F1bAXpEqg0fF8m2Y6d0Z0Q1yLUt3rBCuMM46sq0uzIzfJST9wmJA5rqXooJr1SxwZAoEv+Yraezm1p5IOTvGQ==" saltValue="XR7YB7+zlSWhj7AblnHXxQ==" spinCount="100000" sheet="1" objects="1" scenarios="1"/>
  <customSheetViews>
    <customSheetView guid="{7883F868-47B4-41A3-8E47-78C5A61242C9}" showPageBreaks="1" showGridLines="0" view="pageLayout">
      <selection activeCell="B37" sqref="B37"/>
      <pageMargins left="0.7" right="0.8125" top="0.75" bottom="0.75" header="0.3" footer="0.3"/>
      <pageSetup paperSize="9" orientation="portrait" r:id="rId1"/>
    </customSheetView>
  </customSheetViews>
  <mergeCells count="2">
    <mergeCell ref="B3:D4"/>
    <mergeCell ref="B5:D5"/>
  </mergeCells>
  <pageMargins left="0.7" right="0.81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94" t="s">
        <v>124</v>
      </c>
      <c r="C3" s="94"/>
      <c r="D3" s="94"/>
      <c r="E3" s="1"/>
    </row>
    <row r="4" spans="1:5" x14ac:dyDescent="0.25">
      <c r="A4" s="1"/>
      <c r="B4" s="94"/>
      <c r="C4" s="94"/>
      <c r="D4" s="94"/>
      <c r="E4" s="1"/>
    </row>
    <row r="5" spans="1:5" x14ac:dyDescent="0.25">
      <c r="A5" s="1"/>
      <c r="B5" s="95" t="s">
        <v>66</v>
      </c>
      <c r="C5" s="95"/>
      <c r="D5" s="95"/>
      <c r="E5" s="1"/>
    </row>
    <row r="6" spans="1:5" x14ac:dyDescent="0.25">
      <c r="A6" s="1"/>
      <c r="B6" s="65"/>
      <c r="C6" s="65"/>
      <c r="D6" s="65"/>
      <c r="E6" s="1"/>
    </row>
    <row r="7" spans="1:5" x14ac:dyDescent="0.25">
      <c r="A7" s="1"/>
      <c r="B7" s="1"/>
      <c r="C7" s="1"/>
      <c r="D7" s="1"/>
      <c r="E7" s="1"/>
    </row>
    <row r="8" spans="1:5" x14ac:dyDescent="0.25">
      <c r="A8" s="1"/>
      <c r="B8" s="24" t="s">
        <v>12</v>
      </c>
      <c r="C8" s="24"/>
      <c r="D8" s="24"/>
      <c r="E8" s="1"/>
    </row>
    <row r="9" spans="1:5" x14ac:dyDescent="0.25">
      <c r="A9" s="1"/>
      <c r="B9" s="50" t="s">
        <v>109</v>
      </c>
      <c r="C9" s="7">
        <f>'Fane 2.2. Økonomisk ramme 2026'!C12</f>
        <v>23096237.173843965</v>
      </c>
      <c r="D9" s="50" t="s">
        <v>3</v>
      </c>
      <c r="E9" s="1"/>
    </row>
    <row r="10" spans="1:5" x14ac:dyDescent="0.25">
      <c r="A10" s="1"/>
      <c r="B10" s="39" t="s">
        <v>18</v>
      </c>
      <c r="C10" s="8">
        <f>C9*('Fane 13. Nøgletal'!C10)</f>
        <v>1531280.5246258548</v>
      </c>
      <c r="D10" s="50" t="s">
        <v>3</v>
      </c>
      <c r="E10" s="1"/>
    </row>
    <row r="11" spans="1:5" x14ac:dyDescent="0.25">
      <c r="A11" s="1"/>
      <c r="B11" s="39" t="s">
        <v>41</v>
      </c>
      <c r="C11" s="8">
        <f>-SUM(C9:C10)*'Fane 13. Nøgletal'!C15</f>
        <v>-418667.80087398697</v>
      </c>
      <c r="D11" s="50" t="s">
        <v>3</v>
      </c>
      <c r="E11" s="1"/>
    </row>
    <row r="12" spans="1:5" x14ac:dyDescent="0.25">
      <c r="A12" s="1"/>
      <c r="B12" s="51" t="s">
        <v>20</v>
      </c>
      <c r="C12" s="9">
        <f>SUM(C9:C11)</f>
        <v>24208849.897595834</v>
      </c>
      <c r="D12" s="25" t="s">
        <v>3</v>
      </c>
      <c r="E12" s="1"/>
    </row>
    <row r="13" spans="1:5" x14ac:dyDescent="0.25">
      <c r="A13" s="1"/>
      <c r="B13" s="24" t="s">
        <v>11</v>
      </c>
      <c r="C13" s="24"/>
      <c r="D13" s="24"/>
      <c r="E13" s="1"/>
    </row>
    <row r="14" spans="1:5" x14ac:dyDescent="0.25">
      <c r="A14" s="1"/>
      <c r="B14" s="25" t="s">
        <v>11</v>
      </c>
      <c r="C14" s="9">
        <f>'Fane 4. Ikke-påvirkelige omk.'!C20*(1+'Fane 13. Nøgletal'!C10)^2+'Fane 4. Ikke-påvirkelige omk.'!C26+'Fane 4. Ikke-påvirkelige omk.'!C34</f>
        <v>5728250.8410657914</v>
      </c>
      <c r="D14" s="25" t="s">
        <v>3</v>
      </c>
      <c r="E14" s="1"/>
    </row>
    <row r="15" spans="1:5" x14ac:dyDescent="0.25">
      <c r="A15" s="1"/>
      <c r="B15" s="24" t="s">
        <v>35</v>
      </c>
      <c r="C15" s="24"/>
      <c r="D15" s="24"/>
      <c r="E15" s="1"/>
    </row>
    <row r="16" spans="1:5" x14ac:dyDescent="0.25">
      <c r="A16" s="1"/>
      <c r="B16" s="55" t="s">
        <v>35</v>
      </c>
      <c r="C16" s="9">
        <f>'Fane 10. Periodevise driftsomk.'!C16</f>
        <v>0</v>
      </c>
      <c r="D16" s="25" t="s">
        <v>3</v>
      </c>
      <c r="E16" s="1"/>
    </row>
    <row r="17" spans="1:5" x14ac:dyDescent="0.25">
      <c r="A17" s="1"/>
      <c r="B17" s="24" t="s">
        <v>58</v>
      </c>
      <c r="C17" s="24"/>
      <c r="D17" s="24"/>
      <c r="E17" s="1"/>
    </row>
    <row r="18" spans="1:5" x14ac:dyDescent="0.25">
      <c r="A18" s="1"/>
      <c r="B18" s="25" t="s">
        <v>57</v>
      </c>
      <c r="C18" s="9">
        <f>'Fane 5. Kontrol af ØR2023'!C34</f>
        <v>-947298.92214340903</v>
      </c>
      <c r="D18" s="25" t="s">
        <v>3</v>
      </c>
      <c r="E18" s="1"/>
    </row>
    <row r="19" spans="1:5" x14ac:dyDescent="0.25">
      <c r="A19" s="1"/>
      <c r="B19" s="24" t="s">
        <v>67</v>
      </c>
      <c r="C19" s="24"/>
      <c r="D19" s="24"/>
      <c r="E19" s="1"/>
    </row>
    <row r="20" spans="1:5" x14ac:dyDescent="0.25">
      <c r="A20" s="1"/>
      <c r="B20" s="55" t="s">
        <v>68</v>
      </c>
      <c r="C20" s="9">
        <f>'Fane 7. Skattesagen'!C16</f>
        <v>0</v>
      </c>
      <c r="D20" s="25" t="s">
        <v>3</v>
      </c>
      <c r="E20" s="1"/>
    </row>
    <row r="21" spans="1:5" x14ac:dyDescent="0.25">
      <c r="A21" s="1"/>
      <c r="B21" s="24" t="s">
        <v>108</v>
      </c>
      <c r="C21" s="10">
        <f>SUM(C12,C14,C16,C18,C20)</f>
        <v>28989801.816518217</v>
      </c>
      <c r="D21" s="11"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mj+kf/wcjIMg1f+p5QtWpO2y9gHQFWwMm12qalvOMumWRL7feyiQlLCBqsGvQ33LqTWfFoJz4IoTHdwy9KpD4g==" saltValue="Et3uIWSaMWBy7dbSNLh/Mg==" spinCount="100000" sheet="1" objects="1" scenarios="1"/>
  <customSheetViews>
    <customSheetView guid="{7883F868-47B4-41A3-8E47-78C5A61242C9}" showPageBreaks="1" showGridLines="0" hiddenColumns="1" view="pageLayout">
      <selection activeCell="B3" sqref="B3:F4"/>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125</v>
      </c>
      <c r="C3" s="94"/>
      <c r="D3" s="94"/>
      <c r="E3" s="1"/>
    </row>
    <row r="4" spans="1:5" ht="15" customHeight="1" x14ac:dyDescent="0.25">
      <c r="A4" s="1"/>
      <c r="B4" s="94"/>
      <c r="C4" s="94"/>
      <c r="D4" s="94"/>
      <c r="E4" s="1"/>
    </row>
    <row r="5" spans="1:5" x14ac:dyDescent="0.25">
      <c r="A5" s="1"/>
      <c r="B5" s="95" t="s">
        <v>21</v>
      </c>
      <c r="C5" s="95"/>
      <c r="D5" s="95"/>
      <c r="E5" s="1"/>
    </row>
    <row r="6" spans="1:5" x14ac:dyDescent="0.25">
      <c r="A6" s="1"/>
      <c r="B6" s="65"/>
      <c r="C6" s="65"/>
      <c r="D6" s="65"/>
      <c r="E6" s="1"/>
    </row>
    <row r="7" spans="1:5" x14ac:dyDescent="0.25">
      <c r="A7" s="1"/>
      <c r="B7" s="1"/>
      <c r="C7" s="1"/>
      <c r="D7" s="1"/>
      <c r="E7" s="1"/>
    </row>
    <row r="8" spans="1:5" x14ac:dyDescent="0.25">
      <c r="A8" s="1"/>
      <c r="B8" s="24" t="s">
        <v>12</v>
      </c>
      <c r="C8" s="24"/>
      <c r="D8" s="24"/>
      <c r="E8" s="1"/>
    </row>
    <row r="9" spans="1:5" ht="15" customHeight="1" x14ac:dyDescent="0.25">
      <c r="A9" s="1"/>
      <c r="B9" s="50" t="s">
        <v>126</v>
      </c>
      <c r="C9" s="7">
        <f>'Fane 2.3. Økonomisk ramme 2027'!C12</f>
        <v>24208849.897595834</v>
      </c>
      <c r="D9" s="50" t="s">
        <v>3</v>
      </c>
      <c r="E9" s="1"/>
    </row>
    <row r="10" spans="1:5" ht="15" customHeight="1" x14ac:dyDescent="0.25">
      <c r="A10" s="1"/>
      <c r="B10" s="39" t="s">
        <v>18</v>
      </c>
      <c r="C10" s="8">
        <f>C9*'Fane 13. Nøgletal'!C10</f>
        <v>1605046.7482106038</v>
      </c>
      <c r="D10" s="50" t="s">
        <v>3</v>
      </c>
      <c r="E10" s="1"/>
    </row>
    <row r="11" spans="1:5" ht="15" customHeight="1" x14ac:dyDescent="0.25">
      <c r="A11" s="1"/>
      <c r="B11" s="39" t="s">
        <v>41</v>
      </c>
      <c r="C11" s="8">
        <f>-SUM(C9:C10)*'Fane 13. Nøgletal'!C15</f>
        <v>-438836.24297870952</v>
      </c>
      <c r="D11" s="50" t="s">
        <v>3</v>
      </c>
      <c r="E11" s="1"/>
    </row>
    <row r="12" spans="1:5" x14ac:dyDescent="0.25">
      <c r="A12" s="1"/>
      <c r="B12" s="51" t="s">
        <v>20</v>
      </c>
      <c r="C12" s="9">
        <f>SUM(C9:C11)</f>
        <v>25375060.402827729</v>
      </c>
      <c r="D12" s="25" t="s">
        <v>3</v>
      </c>
      <c r="E12" s="1"/>
    </row>
    <row r="13" spans="1:5" x14ac:dyDescent="0.25">
      <c r="A13" s="1"/>
      <c r="B13" s="24" t="s">
        <v>11</v>
      </c>
      <c r="C13" s="24"/>
      <c r="D13" s="24"/>
      <c r="E13" s="1"/>
    </row>
    <row r="14" spans="1:5" ht="15" customHeight="1" x14ac:dyDescent="0.25">
      <c r="A14" s="1"/>
      <c r="B14" s="25" t="s">
        <v>11</v>
      </c>
      <c r="C14" s="9">
        <f>'Fane 4. Ikke-påvirkelige omk.'!C20*(1+'Fane 13. Nøgletal'!C10)^3+'Fane 4. Ikke-påvirkelige omk.'!C27+'Fane 4. Ikke-påvirkelige omk.'!C35</f>
        <v>6107354.2642284548</v>
      </c>
      <c r="D14" s="25" t="s">
        <v>3</v>
      </c>
      <c r="E14" s="1"/>
    </row>
    <row r="15" spans="1:5" ht="15" customHeight="1" x14ac:dyDescent="0.25">
      <c r="A15" s="1"/>
      <c r="B15" s="24" t="s">
        <v>35</v>
      </c>
      <c r="C15" s="24"/>
      <c r="D15" s="24"/>
      <c r="E15" s="1"/>
    </row>
    <row r="16" spans="1:5" ht="15" customHeight="1" x14ac:dyDescent="0.25">
      <c r="A16" s="1"/>
      <c r="B16" s="55" t="s">
        <v>35</v>
      </c>
      <c r="C16" s="9">
        <f>'Fane 10. Periodevise driftsomk.'!C21</f>
        <v>0</v>
      </c>
      <c r="D16" s="25" t="s">
        <v>3</v>
      </c>
      <c r="E16" s="1"/>
    </row>
    <row r="17" spans="1:5" ht="15" customHeight="1" x14ac:dyDescent="0.25">
      <c r="A17" s="1"/>
      <c r="B17" s="24" t="s">
        <v>67</v>
      </c>
      <c r="C17" s="24"/>
      <c r="D17" s="24"/>
      <c r="E17" s="1"/>
    </row>
    <row r="18" spans="1:5" ht="15" customHeight="1" x14ac:dyDescent="0.25">
      <c r="A18" s="1"/>
      <c r="B18" s="55" t="s">
        <v>68</v>
      </c>
      <c r="C18" s="9">
        <f>'Fane 7. Skattesagen'!C17</f>
        <v>0</v>
      </c>
      <c r="D18" s="25" t="s">
        <v>3</v>
      </c>
      <c r="E18" s="1"/>
    </row>
    <row r="19" spans="1:5" x14ac:dyDescent="0.25">
      <c r="A19" s="1"/>
      <c r="B19" s="24" t="s">
        <v>127</v>
      </c>
      <c r="C19" s="10">
        <f>SUM(C12,C14,C16,C18)</f>
        <v>31482414.667056184</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EHDeNHV9ZoSzkknLTLAIYLl+gSOM/WjVzHSxGLFQc5lPczUnAYGupjOsA9mQDyOF+Tz42Q54iu38YNg0oQaWfg==" saltValue="eDKkUcZAKZdZ+Q1T4HTpEg==" spinCount="100000" sheet="1" objects="1" scenarios="1"/>
  <customSheetViews>
    <customSheetView guid="{7883F868-47B4-41A3-8E47-78C5A61242C9}" showPageBreaks="1" showGridLines="0" hiddenColumns="1" view="pageLayout">
      <selection activeCell="A6" sqref="A6:XFD6"/>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8"/>
  <sheetViews>
    <sheetView showGridLines="0" zoomScaleNormal="100" workbookViewId="0"/>
  </sheetViews>
  <sheetFormatPr defaultColWidth="0" defaultRowHeight="15" zeroHeight="1" x14ac:dyDescent="0.25"/>
  <cols>
    <col min="1" max="1" width="5.140625" style="2" customWidth="1"/>
    <col min="2" max="2" width="56.28515625" style="2" customWidth="1"/>
    <col min="3" max="3" width="10.28515625" style="2" customWidth="1"/>
    <col min="4" max="4" width="3.85546875" style="2" customWidth="1"/>
    <col min="5" max="5" width="10.5703125" style="2" customWidth="1"/>
    <col min="6" max="7" width="0" style="2" hidden="1" customWidth="1"/>
    <col min="8" max="16384" width="9" style="2" hidden="1"/>
  </cols>
  <sheetData>
    <row r="1" spans="1:5" x14ac:dyDescent="0.25">
      <c r="A1" s="1"/>
      <c r="B1" s="1"/>
      <c r="C1" s="1"/>
      <c r="D1" s="1"/>
      <c r="E1" s="1"/>
    </row>
    <row r="2" spans="1:5" x14ac:dyDescent="0.25">
      <c r="A2" s="1"/>
      <c r="B2" s="1"/>
      <c r="C2" s="1"/>
      <c r="D2" s="1"/>
      <c r="E2" s="1"/>
    </row>
    <row r="3" spans="1:5" ht="24.95" customHeight="1" x14ac:dyDescent="0.25">
      <c r="A3" s="1"/>
      <c r="B3" s="96" t="s">
        <v>128</v>
      </c>
      <c r="C3" s="96"/>
      <c r="D3" s="96"/>
      <c r="E3" s="1"/>
    </row>
    <row r="4" spans="1:5" ht="15" customHeight="1" x14ac:dyDescent="0.25">
      <c r="A4" s="1"/>
      <c r="B4" s="96"/>
      <c r="C4" s="96"/>
      <c r="D4" s="96"/>
      <c r="E4" s="1"/>
    </row>
    <row r="5" spans="1:5" ht="15" customHeight="1" x14ac:dyDescent="0.25">
      <c r="A5" s="1"/>
      <c r="B5" s="64"/>
      <c r="C5" s="64"/>
      <c r="D5" s="64"/>
      <c r="E5" s="1"/>
    </row>
    <row r="6" spans="1:5" ht="21" x14ac:dyDescent="0.25">
      <c r="A6" s="1"/>
      <c r="B6" s="64"/>
      <c r="C6" s="64"/>
      <c r="D6" s="64"/>
      <c r="E6" s="1"/>
    </row>
    <row r="7" spans="1:5" x14ac:dyDescent="0.25">
      <c r="A7" s="1"/>
      <c r="B7" s="1"/>
      <c r="C7" s="1"/>
      <c r="D7" s="1"/>
      <c r="E7" s="1"/>
    </row>
    <row r="8" spans="1:5" x14ac:dyDescent="0.25">
      <c r="A8" s="1"/>
      <c r="B8" s="24" t="s">
        <v>129</v>
      </c>
      <c r="C8" s="24"/>
      <c r="D8" s="24"/>
      <c r="E8" s="1"/>
    </row>
    <row r="9" spans="1:5" x14ac:dyDescent="0.25">
      <c r="A9" s="1"/>
      <c r="B9" s="50" t="s">
        <v>73</v>
      </c>
      <c r="C9" s="7">
        <v>18505724.513720017</v>
      </c>
      <c r="D9" s="50" t="s">
        <v>3</v>
      </c>
      <c r="E9" s="1"/>
    </row>
    <row r="10" spans="1:5" x14ac:dyDescent="0.25">
      <c r="A10" s="1"/>
      <c r="B10" s="22" t="s">
        <v>50</v>
      </c>
      <c r="C10" s="7">
        <v>1015659.1032</v>
      </c>
      <c r="D10" s="50" t="s">
        <v>3</v>
      </c>
      <c r="E10" s="1"/>
    </row>
    <row r="11" spans="1:5" x14ac:dyDescent="0.25">
      <c r="A11" s="1"/>
      <c r="B11" s="22" t="s">
        <v>51</v>
      </c>
      <c r="C11" s="8">
        <v>0</v>
      </c>
      <c r="D11" s="50" t="s">
        <v>3</v>
      </c>
      <c r="E11" s="1"/>
    </row>
    <row r="12" spans="1:5" x14ac:dyDescent="0.25">
      <c r="A12" s="1"/>
      <c r="B12" s="22" t="s">
        <v>53</v>
      </c>
      <c r="C12" s="8">
        <v>0</v>
      </c>
      <c r="D12" s="50" t="s">
        <v>3</v>
      </c>
      <c r="E12" s="1"/>
    </row>
    <row r="13" spans="1:5" x14ac:dyDescent="0.25">
      <c r="A13" s="1"/>
      <c r="B13" s="22" t="s">
        <v>18</v>
      </c>
      <c r="C13" s="8">
        <v>1577327.7962471372</v>
      </c>
      <c r="D13" s="50" t="s">
        <v>3</v>
      </c>
      <c r="E13" s="1"/>
    </row>
    <row r="14" spans="1:5" x14ac:dyDescent="0.25">
      <c r="A14" s="1"/>
      <c r="B14" s="22" t="s">
        <v>41</v>
      </c>
      <c r="C14" s="8">
        <v>-358678.09402384161</v>
      </c>
      <c r="D14" s="50" t="s">
        <v>3</v>
      </c>
      <c r="E14" s="46"/>
    </row>
    <row r="15" spans="1:5" x14ac:dyDescent="0.25">
      <c r="A15" s="1"/>
      <c r="B15" s="55" t="s">
        <v>20</v>
      </c>
      <c r="C15" s="9">
        <v>20740033.31914331</v>
      </c>
      <c r="D15" s="25" t="s">
        <v>3</v>
      </c>
      <c r="E15" s="1"/>
    </row>
    <row r="16" spans="1:5" x14ac:dyDescent="0.25">
      <c r="A16" s="1"/>
      <c r="B16" s="24" t="s">
        <v>11</v>
      </c>
      <c r="C16" s="24"/>
      <c r="D16" s="24"/>
      <c r="E16" s="1"/>
    </row>
    <row r="17" spans="1:5" ht="14.25" customHeight="1" x14ac:dyDescent="0.25">
      <c r="A17" s="1"/>
      <c r="B17" s="25" t="s">
        <v>11</v>
      </c>
      <c r="C17" s="9">
        <v>6444093.9360166397</v>
      </c>
      <c r="D17" s="25" t="s">
        <v>3</v>
      </c>
      <c r="E17" s="1"/>
    </row>
    <row r="18" spans="1:5" ht="14.25" customHeight="1" x14ac:dyDescent="0.25">
      <c r="A18" s="1"/>
      <c r="B18" s="24" t="s">
        <v>35</v>
      </c>
      <c r="C18" s="24"/>
      <c r="D18" s="24"/>
      <c r="E18" s="1"/>
    </row>
    <row r="19" spans="1:5" x14ac:dyDescent="0.25">
      <c r="A19" s="1"/>
      <c r="B19" s="55" t="s">
        <v>35</v>
      </c>
      <c r="C19" s="9">
        <v>0</v>
      </c>
      <c r="D19" s="25" t="s">
        <v>3</v>
      </c>
      <c r="E19" s="1"/>
    </row>
    <row r="20" spans="1:5" x14ac:dyDescent="0.25">
      <c r="A20" s="1"/>
      <c r="B20" s="24" t="s">
        <v>34</v>
      </c>
      <c r="C20" s="24"/>
      <c r="D20" s="24"/>
      <c r="E20" s="1"/>
    </row>
    <row r="21" spans="1:5" ht="15.4" customHeight="1" x14ac:dyDescent="0.25">
      <c r="A21" s="1"/>
      <c r="B21" s="22" t="s">
        <v>30</v>
      </c>
      <c r="C21" s="8">
        <v>0</v>
      </c>
      <c r="D21" s="50" t="s">
        <v>3</v>
      </c>
      <c r="E21" s="1"/>
    </row>
    <row r="22" spans="1:5" ht="15.4" customHeight="1" x14ac:dyDescent="0.25">
      <c r="A22" s="1"/>
      <c r="B22" s="22" t="s">
        <v>31</v>
      </c>
      <c r="C22" s="8">
        <v>0</v>
      </c>
      <c r="D22" s="50" t="s">
        <v>3</v>
      </c>
      <c r="E22" s="1"/>
    </row>
    <row r="23" spans="1:5" ht="15.75" customHeight="1" x14ac:dyDescent="0.25">
      <c r="A23" s="1"/>
      <c r="B23" s="22" t="s">
        <v>80</v>
      </c>
      <c r="C23" s="8">
        <v>0</v>
      </c>
      <c r="D23" s="50" t="s">
        <v>3</v>
      </c>
      <c r="E23" s="1"/>
    </row>
    <row r="24" spans="1:5" x14ac:dyDescent="0.25">
      <c r="A24" s="1"/>
      <c r="B24" s="55" t="s">
        <v>36</v>
      </c>
      <c r="C24" s="9">
        <v>0</v>
      </c>
      <c r="D24" s="25" t="s">
        <v>3</v>
      </c>
      <c r="E24" s="1"/>
    </row>
    <row r="25" spans="1:5" x14ac:dyDescent="0.25">
      <c r="A25" s="1"/>
      <c r="B25" s="24" t="s">
        <v>58</v>
      </c>
      <c r="C25" s="24"/>
      <c r="D25" s="24"/>
      <c r="E25" s="1"/>
    </row>
    <row r="26" spans="1:5" x14ac:dyDescent="0.25">
      <c r="A26" s="1"/>
      <c r="B26" s="55" t="s">
        <v>57</v>
      </c>
      <c r="C26" s="9">
        <v>-114492.18104844913</v>
      </c>
      <c r="D26" s="25" t="s">
        <v>3</v>
      </c>
      <c r="E26" s="1"/>
    </row>
    <row r="27" spans="1:5" x14ac:dyDescent="0.25">
      <c r="A27" s="1"/>
      <c r="B27" s="24" t="s">
        <v>60</v>
      </c>
      <c r="C27" s="24"/>
      <c r="D27" s="24"/>
      <c r="E27" s="1"/>
    </row>
    <row r="28" spans="1:5" ht="15.75" customHeight="1" x14ac:dyDescent="0.25">
      <c r="A28" s="1"/>
      <c r="B28" s="25" t="s">
        <v>162</v>
      </c>
      <c r="C28" s="9">
        <v>-36312</v>
      </c>
      <c r="D28" s="25" t="s">
        <v>3</v>
      </c>
      <c r="E28" s="1"/>
    </row>
    <row r="29" spans="1:5" ht="15.75" customHeight="1" x14ac:dyDescent="0.25">
      <c r="A29" s="1"/>
      <c r="B29" s="24" t="s">
        <v>67</v>
      </c>
      <c r="C29" s="24"/>
      <c r="D29" s="24"/>
      <c r="E29" s="1"/>
    </row>
    <row r="30" spans="1:5" ht="15.75" customHeight="1" x14ac:dyDescent="0.25">
      <c r="A30" s="1"/>
      <c r="B30" s="55" t="s">
        <v>68</v>
      </c>
      <c r="C30" s="9">
        <v>0</v>
      </c>
      <c r="D30" s="25" t="s">
        <v>3</v>
      </c>
      <c r="E30" s="1"/>
    </row>
    <row r="31" spans="1:5" x14ac:dyDescent="0.25">
      <c r="A31" s="1"/>
      <c r="B31" s="24" t="s">
        <v>54</v>
      </c>
      <c r="C31" s="10">
        <v>27033323.074111503</v>
      </c>
      <c r="D31" s="11" t="s">
        <v>3</v>
      </c>
      <c r="E31" s="1"/>
    </row>
    <row r="32" spans="1:5" ht="30" customHeight="1" x14ac:dyDescent="0.25">
      <c r="A32" s="1"/>
      <c r="B32" s="97" t="s">
        <v>173</v>
      </c>
      <c r="C32" s="97"/>
      <c r="D32" s="97"/>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row>
    <row r="48" spans="1:5" x14ac:dyDescent="0.25">
      <c r="A48" s="1"/>
      <c r="B48" s="1"/>
      <c r="C48" s="1"/>
    </row>
  </sheetData>
  <sheetProtection algorithmName="SHA-512" hashValue="UYrTG9pOS4EtXFe95Qd6/qRf7kzGoJEguNAh+mqp0mkGrshUzR17PCEtBKRNrgV6PfyLeTWlmLh6UL9U8mnw5Q==" saltValue="5eJ3oZPb/QvOoOBWxcI0lg==" spinCount="100000" sheet="1" objects="1" scenarios="1"/>
  <customSheetViews>
    <customSheetView guid="{7883F868-47B4-41A3-8E47-78C5A61242C9}" showPageBreaks="1" showGridLines="0" view="pageLayout">
      <selection activeCell="B36" sqref="B36"/>
      <pageMargins left="0.7" right="0.7" top="0.75" bottom="0.75" header="0.3" footer="0.3"/>
      <pageSetup paperSize="9" orientation="portrait" r:id="rId1"/>
    </customSheetView>
  </customSheetViews>
  <mergeCells count="2">
    <mergeCell ref="B3:D4"/>
    <mergeCell ref="B32:D32"/>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39</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130</v>
      </c>
      <c r="C8" s="99"/>
      <c r="D8" s="100"/>
      <c r="E8" s="1"/>
    </row>
    <row r="9" spans="1:5" ht="15" customHeight="1" x14ac:dyDescent="0.25">
      <c r="A9" s="1"/>
      <c r="B9" s="73" t="s">
        <v>24</v>
      </c>
      <c r="C9" s="51" t="s">
        <v>131</v>
      </c>
      <c r="D9" s="25"/>
      <c r="E9" s="1"/>
    </row>
    <row r="10" spans="1:5" x14ac:dyDescent="0.25">
      <c r="A10" s="1"/>
      <c r="B10" s="62" t="s">
        <v>175</v>
      </c>
      <c r="C10" s="63">
        <v>14433</v>
      </c>
      <c r="D10" s="12" t="s">
        <v>3</v>
      </c>
      <c r="E10" s="1"/>
    </row>
    <row r="11" spans="1:5" ht="25.5" x14ac:dyDescent="0.25">
      <c r="A11" s="1"/>
      <c r="B11" s="62" t="s">
        <v>176</v>
      </c>
      <c r="C11" s="63">
        <v>4406343</v>
      </c>
      <c r="D11" s="12" t="s">
        <v>3</v>
      </c>
      <c r="E11" s="1"/>
    </row>
    <row r="12" spans="1:5" x14ac:dyDescent="0.25">
      <c r="A12" s="1"/>
      <c r="B12" s="62"/>
      <c r="C12" s="63"/>
      <c r="D12" s="12" t="s">
        <v>3</v>
      </c>
      <c r="E12" s="1"/>
    </row>
    <row r="13" spans="1:5" x14ac:dyDescent="0.25">
      <c r="A13" s="1"/>
      <c r="B13" s="62"/>
      <c r="C13" s="63"/>
      <c r="D13" s="12" t="s">
        <v>3</v>
      </c>
      <c r="E13" s="1"/>
    </row>
    <row r="14" spans="1:5" x14ac:dyDescent="0.25">
      <c r="A14" s="1"/>
      <c r="B14" s="62"/>
      <c r="C14" s="63"/>
      <c r="D14" s="12" t="s">
        <v>3</v>
      </c>
      <c r="E14" s="1"/>
    </row>
    <row r="15" spans="1:5" x14ac:dyDescent="0.25">
      <c r="A15" s="1"/>
      <c r="B15" s="62"/>
      <c r="C15" s="63"/>
      <c r="D15" s="12" t="s">
        <v>3</v>
      </c>
      <c r="E15" s="1"/>
    </row>
    <row r="16" spans="1:5" x14ac:dyDescent="0.25">
      <c r="A16" s="1"/>
      <c r="B16" s="62"/>
      <c r="C16" s="63"/>
      <c r="D16" s="12" t="s">
        <v>3</v>
      </c>
      <c r="E16" s="1"/>
    </row>
    <row r="17" spans="1:5" x14ac:dyDescent="0.25">
      <c r="A17" s="1"/>
      <c r="B17" s="62"/>
      <c r="C17" s="63"/>
      <c r="D17" s="12" t="s">
        <v>3</v>
      </c>
      <c r="E17" s="1"/>
    </row>
    <row r="18" spans="1:5" x14ac:dyDescent="0.25">
      <c r="A18" s="1"/>
      <c r="B18" s="62"/>
      <c r="C18" s="63"/>
      <c r="D18" s="12" t="s">
        <v>3</v>
      </c>
      <c r="E18" s="1"/>
    </row>
    <row r="19" spans="1:5" x14ac:dyDescent="0.25">
      <c r="A19" s="1"/>
      <c r="B19" s="74" t="s">
        <v>132</v>
      </c>
      <c r="C19" s="10">
        <f>SUM(C10:C18)</f>
        <v>4420776</v>
      </c>
      <c r="D19" s="11" t="s">
        <v>3</v>
      </c>
      <c r="E19" s="1"/>
    </row>
    <row r="20" spans="1:5" x14ac:dyDescent="0.25">
      <c r="A20" s="1"/>
      <c r="B20" s="74" t="s">
        <v>133</v>
      </c>
      <c r="C20" s="10">
        <f>C19*(1+'Fane 13. Nøgletal'!C10)^2</f>
        <v>5026403.2584554404</v>
      </c>
      <c r="D20" s="11" t="s">
        <v>3</v>
      </c>
      <c r="E20" s="1"/>
    </row>
    <row r="21" spans="1:5" x14ac:dyDescent="0.25">
      <c r="A21" s="1"/>
      <c r="B21" s="14"/>
      <c r="C21" s="13"/>
      <c r="D21" s="13"/>
      <c r="E21" s="1"/>
    </row>
    <row r="22" spans="1:5" x14ac:dyDescent="0.25">
      <c r="A22" s="1"/>
      <c r="B22" s="14"/>
      <c r="C22" s="13"/>
      <c r="D22" s="13"/>
      <c r="E22" s="1"/>
    </row>
    <row r="23" spans="1:5" x14ac:dyDescent="0.25">
      <c r="A23" s="1"/>
      <c r="B23" s="98" t="s">
        <v>48</v>
      </c>
      <c r="C23" s="99"/>
      <c r="D23" s="100"/>
      <c r="E23" s="1"/>
    </row>
    <row r="24" spans="1:5" x14ac:dyDescent="0.25">
      <c r="A24" s="1"/>
      <c r="B24" s="21" t="s">
        <v>63</v>
      </c>
      <c r="C24" s="8">
        <v>767382</v>
      </c>
      <c r="D24" s="12" t="s">
        <v>3</v>
      </c>
      <c r="E24" s="1"/>
    </row>
    <row r="25" spans="1:5" x14ac:dyDescent="0.25">
      <c r="A25" s="1"/>
      <c r="B25" s="21" t="s">
        <v>76</v>
      </c>
      <c r="C25" s="8">
        <v>13056</v>
      </c>
      <c r="D25" s="12" t="s">
        <v>3</v>
      </c>
      <c r="E25" s="1"/>
    </row>
    <row r="26" spans="1:5" x14ac:dyDescent="0.25">
      <c r="A26" s="1"/>
      <c r="B26" s="21" t="s">
        <v>110</v>
      </c>
      <c r="C26" s="8">
        <v>13252</v>
      </c>
      <c r="D26" s="12" t="s">
        <v>3</v>
      </c>
      <c r="E26" s="1"/>
    </row>
    <row r="27" spans="1:5" x14ac:dyDescent="0.25">
      <c r="A27" s="1"/>
      <c r="B27" s="23" t="s">
        <v>134</v>
      </c>
      <c r="C27" s="8">
        <v>13451</v>
      </c>
      <c r="D27" s="12" t="s">
        <v>3</v>
      </c>
      <c r="E27" s="1"/>
    </row>
    <row r="28" spans="1:5" x14ac:dyDescent="0.25">
      <c r="A28" s="1"/>
      <c r="B28" s="98"/>
      <c r="C28" s="99"/>
      <c r="D28" s="100"/>
      <c r="E28" s="1"/>
    </row>
    <row r="29" spans="1:5" x14ac:dyDescent="0.25">
      <c r="A29" s="1"/>
      <c r="B29" s="1"/>
      <c r="C29" s="1"/>
      <c r="D29" s="1"/>
      <c r="E29" s="1"/>
    </row>
    <row r="30" spans="1:5" x14ac:dyDescent="0.25">
      <c r="A30" s="1"/>
      <c r="B30" s="1"/>
      <c r="C30" s="1"/>
      <c r="D30" s="1"/>
      <c r="E30" s="1"/>
    </row>
    <row r="31" spans="1:5" x14ac:dyDescent="0.25">
      <c r="A31" s="1"/>
      <c r="B31" s="98" t="s">
        <v>38</v>
      </c>
      <c r="C31" s="99"/>
      <c r="D31" s="100"/>
      <c r="E31" s="1"/>
    </row>
    <row r="32" spans="1:5" x14ac:dyDescent="0.25">
      <c r="A32" s="1"/>
      <c r="B32" s="21" t="s">
        <v>63</v>
      </c>
      <c r="C32" s="8">
        <v>0</v>
      </c>
      <c r="D32" s="12" t="s">
        <v>3</v>
      </c>
      <c r="E32" s="1"/>
    </row>
    <row r="33" spans="1:5" x14ac:dyDescent="0.25">
      <c r="A33" s="1"/>
      <c r="B33" s="21" t="s">
        <v>76</v>
      </c>
      <c r="C33" s="8">
        <v>0</v>
      </c>
      <c r="D33" s="12" t="s">
        <v>3</v>
      </c>
      <c r="E33" s="1"/>
    </row>
    <row r="34" spans="1:5" x14ac:dyDescent="0.25">
      <c r="A34" s="1"/>
      <c r="B34" s="21" t="s">
        <v>110</v>
      </c>
      <c r="C34" s="8">
        <v>0</v>
      </c>
      <c r="D34" s="12" t="s">
        <v>3</v>
      </c>
      <c r="E34" s="1"/>
    </row>
    <row r="35" spans="1:5" x14ac:dyDescent="0.25">
      <c r="A35" s="1"/>
      <c r="B35" s="23" t="s">
        <v>134</v>
      </c>
      <c r="C35" s="8">
        <v>0</v>
      </c>
      <c r="D35" s="28" t="s">
        <v>3</v>
      </c>
      <c r="E35" s="1"/>
    </row>
    <row r="36" spans="1:5" x14ac:dyDescent="0.25">
      <c r="A36" s="1"/>
      <c r="B36" s="98"/>
      <c r="C36" s="99"/>
      <c r="D36" s="100"/>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2"/>
      <c r="B50" s="42"/>
      <c r="C50" s="42"/>
      <c r="D50" s="42"/>
      <c r="E50" s="42"/>
    </row>
    <row r="51" spans="1:5" hidden="1" x14ac:dyDescent="0.25">
      <c r="A51" s="42"/>
      <c r="B51" s="42"/>
      <c r="C51" s="42"/>
      <c r="D51" s="42"/>
      <c r="E51" s="42"/>
    </row>
    <row r="52" spans="1:5" hidden="1" x14ac:dyDescent="0.25">
      <c r="A52" s="42"/>
      <c r="B52" s="42"/>
      <c r="C52" s="42"/>
      <c r="D52" s="42"/>
      <c r="E52" s="42"/>
    </row>
    <row r="53" spans="1:5" hidden="1" x14ac:dyDescent="0.25">
      <c r="A53" s="42"/>
      <c r="B53" s="42"/>
      <c r="C53" s="42"/>
      <c r="D53" s="42"/>
      <c r="E53" s="42"/>
    </row>
    <row r="54" spans="1:5" hidden="1" x14ac:dyDescent="0.25">
      <c r="A54" s="42"/>
      <c r="B54" s="42"/>
      <c r="C54" s="42"/>
      <c r="D54" s="42"/>
      <c r="E54" s="42"/>
    </row>
    <row r="55" spans="1:5" hidden="1" x14ac:dyDescent="0.25">
      <c r="A55" s="42"/>
      <c r="B55" s="42"/>
      <c r="C55" s="42"/>
      <c r="D55" s="42"/>
      <c r="E55" s="42"/>
    </row>
    <row r="56" spans="1:5" hidden="1" x14ac:dyDescent="0.25"/>
  </sheetData>
  <sheetProtection algorithmName="SHA-512" hashValue="e3JOskGRaH4PieKXkbP/vxUIz4KVrz+Scyn6JXsHhW2ZrABDUrZxwaNaynqb/JnRg73s3QD+5JaiiiqlLqIlaw==" saltValue="uJ/c0W2TgQ0tCONDN8/viw==" spinCount="100000" sheet="1" objects="1" scenarios="1"/>
  <customSheetViews>
    <customSheetView guid="{7883F868-47B4-41A3-8E47-78C5A61242C9}" scale="90" showPageBreaks="1" showGridLines="0" view="pageLayout" topLeftCell="A22">
      <selection activeCell="C20" sqref="C20"/>
      <pageMargins left="0.75" right="0.7" top="0.75" bottom="0.75" header="0.3" footer="0.3"/>
      <pageSetup paperSize="9" orientation="portrait" r:id="rId1"/>
    </customSheetView>
  </customSheetViews>
  <mergeCells count="6">
    <mergeCell ref="B36:D36"/>
    <mergeCell ref="B3:D4"/>
    <mergeCell ref="B8:D8"/>
    <mergeCell ref="B23:D23"/>
    <mergeCell ref="B31:D31"/>
    <mergeCell ref="B28:D2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8"/>
  <dimension ref="A1:E55"/>
  <sheetViews>
    <sheetView showGridLines="0" zoomScaleNormal="100" workbookViewId="0"/>
  </sheetViews>
  <sheetFormatPr defaultColWidth="0" defaultRowHeight="15" zeroHeight="1" x14ac:dyDescent="0.25"/>
  <cols>
    <col min="1" max="1" width="5.28515625" style="2" customWidth="1"/>
    <col min="2" max="2" width="56"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151</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6"/>
      <c r="C6" s="66"/>
      <c r="D6" s="66"/>
      <c r="E6" s="1"/>
    </row>
    <row r="7" spans="1:5" x14ac:dyDescent="0.25">
      <c r="A7" s="1"/>
      <c r="B7" s="1"/>
      <c r="C7" s="1"/>
      <c r="D7" s="1"/>
      <c r="E7" s="1"/>
    </row>
    <row r="8" spans="1:5" x14ac:dyDescent="0.25">
      <c r="A8" s="1"/>
      <c r="B8" s="98" t="s">
        <v>69</v>
      </c>
      <c r="C8" s="99"/>
      <c r="D8" s="100"/>
      <c r="E8" s="1"/>
    </row>
    <row r="9" spans="1:5" x14ac:dyDescent="0.25">
      <c r="A9" s="1"/>
      <c r="B9" s="56" t="s">
        <v>111</v>
      </c>
      <c r="C9" s="8">
        <v>-1387839.8099300042</v>
      </c>
      <c r="D9" s="12" t="s">
        <v>3</v>
      </c>
      <c r="E9" s="1"/>
    </row>
    <row r="10" spans="1:5" x14ac:dyDescent="0.25">
      <c r="A10" s="1"/>
      <c r="B10" s="56" t="s">
        <v>152</v>
      </c>
      <c r="C10" s="8">
        <v>-263240.77371110022</v>
      </c>
      <c r="D10" s="41" t="s">
        <v>3</v>
      </c>
      <c r="E10" s="1"/>
    </row>
    <row r="11" spans="1:5" x14ac:dyDescent="0.25">
      <c r="A11" s="1"/>
      <c r="B11" s="74"/>
      <c r="C11" s="20"/>
      <c r="D11" s="75"/>
      <c r="E11" s="1"/>
    </row>
    <row r="12" spans="1:5" ht="54" customHeight="1" x14ac:dyDescent="0.25">
      <c r="A12" s="1"/>
      <c r="B12" s="104" t="s">
        <v>153</v>
      </c>
      <c r="C12" s="105"/>
      <c r="D12" s="106"/>
      <c r="E12" s="1"/>
    </row>
    <row r="13" spans="1:5" ht="16.149999999999999" customHeight="1" x14ac:dyDescent="0.25">
      <c r="A13" s="1"/>
      <c r="B13" s="1"/>
      <c r="C13" s="1"/>
      <c r="D13" s="1"/>
      <c r="E13" s="1"/>
    </row>
    <row r="14" spans="1:5" x14ac:dyDescent="0.25">
      <c r="A14" s="1"/>
      <c r="B14" s="98" t="s">
        <v>70</v>
      </c>
      <c r="C14" s="99"/>
      <c r="D14" s="100"/>
      <c r="E14" s="1"/>
    </row>
    <row r="15" spans="1:5" x14ac:dyDescent="0.25">
      <c r="A15" s="1"/>
      <c r="B15" s="56" t="s">
        <v>105</v>
      </c>
      <c r="C15" s="8">
        <v>-114492.18104844913</v>
      </c>
      <c r="D15" s="12" t="s">
        <v>3</v>
      </c>
      <c r="E15" s="1"/>
    </row>
    <row r="16" spans="1:5" x14ac:dyDescent="0.25">
      <c r="A16" s="1"/>
      <c r="B16" s="56" t="s">
        <v>106</v>
      </c>
      <c r="C16" s="8">
        <v>-114492.18104844913</v>
      </c>
      <c r="D16" s="12" t="s">
        <v>3</v>
      </c>
      <c r="E16" s="1"/>
    </row>
    <row r="17" spans="1:5" x14ac:dyDescent="0.25">
      <c r="A17" s="1"/>
      <c r="B17" s="74"/>
      <c r="C17" s="20"/>
      <c r="D17" s="75"/>
      <c r="E17" s="1"/>
    </row>
    <row r="18" spans="1:5" ht="29.25" customHeight="1" x14ac:dyDescent="0.25">
      <c r="A18" s="1"/>
      <c r="B18" s="104" t="s">
        <v>154</v>
      </c>
      <c r="C18" s="105"/>
      <c r="D18" s="106"/>
      <c r="E18" s="1"/>
    </row>
    <row r="19" spans="1:5" ht="17.25" customHeight="1" x14ac:dyDescent="0.25">
      <c r="A19" s="1"/>
      <c r="B19" s="1"/>
      <c r="C19" s="1"/>
      <c r="D19" s="1"/>
      <c r="E19" s="1"/>
    </row>
    <row r="20" spans="1:5" x14ac:dyDescent="0.25">
      <c r="A20" s="1"/>
      <c r="B20" s="67" t="s">
        <v>155</v>
      </c>
      <c r="C20" s="68"/>
      <c r="D20" s="69"/>
      <c r="E20" s="1"/>
    </row>
    <row r="21" spans="1:5" x14ac:dyDescent="0.25">
      <c r="A21" s="1"/>
      <c r="B21" s="56" t="s">
        <v>156</v>
      </c>
      <c r="C21" s="8">
        <v>23440074.155713182</v>
      </c>
      <c r="D21" s="12" t="s">
        <v>3</v>
      </c>
      <c r="E21" s="1"/>
    </row>
    <row r="22" spans="1:5" x14ac:dyDescent="0.25">
      <c r="A22" s="1"/>
      <c r="B22" s="56" t="s">
        <v>157</v>
      </c>
      <c r="C22" s="8">
        <v>25334672</v>
      </c>
      <c r="D22" s="12" t="s">
        <v>3</v>
      </c>
      <c r="E22" s="1"/>
    </row>
    <row r="23" spans="1:5" x14ac:dyDescent="0.25">
      <c r="A23" s="1"/>
      <c r="B23" s="56" t="s">
        <v>25</v>
      </c>
      <c r="C23" s="8">
        <v>0</v>
      </c>
      <c r="D23" s="12" t="s">
        <v>3</v>
      </c>
      <c r="E23" s="1"/>
    </row>
    <row r="24" spans="1:5" x14ac:dyDescent="0.25">
      <c r="A24" s="1"/>
      <c r="B24" s="53" t="s">
        <v>158</v>
      </c>
      <c r="C24" s="47">
        <f>C21-C22-C23</f>
        <v>-1894597.8442868181</v>
      </c>
      <c r="D24" s="15" t="s">
        <v>3</v>
      </c>
      <c r="E24" s="1"/>
    </row>
    <row r="25" spans="1:5" x14ac:dyDescent="0.25">
      <c r="A25" s="1"/>
      <c r="B25" s="74"/>
      <c r="C25" s="20"/>
      <c r="D25" s="75"/>
      <c r="E25" s="1"/>
    </row>
    <row r="26" spans="1:5" x14ac:dyDescent="0.25">
      <c r="A26" s="1"/>
      <c r="B26" s="1"/>
      <c r="C26" s="1"/>
      <c r="D26" s="1"/>
      <c r="E26" s="1"/>
    </row>
    <row r="27" spans="1:5" x14ac:dyDescent="0.25">
      <c r="A27" s="1"/>
      <c r="B27" s="98" t="s">
        <v>160</v>
      </c>
      <c r="C27" s="99"/>
      <c r="D27" s="100"/>
      <c r="E27" s="1"/>
    </row>
    <row r="28" spans="1:5" x14ac:dyDescent="0.25">
      <c r="A28" s="1"/>
      <c r="B28" s="53" t="s">
        <v>161</v>
      </c>
      <c r="C28" s="47">
        <f>IF(AND(C16&lt;0,C24&gt;0,ABS(SUM(C15:C16))&lt;C24),ABS(C15),IF(AND(C16&lt;0,C24&gt;0,ABS(SUM(C15:C16))&gt;C24),SUM(C15,C24),C15))</f>
        <v>-114492.18104844913</v>
      </c>
      <c r="D28" s="15" t="s">
        <v>3</v>
      </c>
      <c r="E28" s="1"/>
    </row>
    <row r="29" spans="1:5" x14ac:dyDescent="0.25">
      <c r="A29" s="1"/>
      <c r="B29" s="98"/>
      <c r="C29" s="99"/>
      <c r="D29" s="100"/>
      <c r="E29" s="1"/>
    </row>
    <row r="30" spans="1:5" x14ac:dyDescent="0.25">
      <c r="A30" s="1"/>
      <c r="B30" s="1"/>
      <c r="C30" s="1"/>
      <c r="D30" s="1"/>
      <c r="E30" s="1"/>
    </row>
    <row r="31" spans="1:5" x14ac:dyDescent="0.25">
      <c r="A31" s="1"/>
      <c r="B31" s="98" t="s">
        <v>159</v>
      </c>
      <c r="C31" s="99"/>
      <c r="D31" s="100"/>
      <c r="E31" s="1"/>
    </row>
    <row r="32" spans="1:5" x14ac:dyDescent="0.25">
      <c r="A32" s="1"/>
      <c r="B32" s="54" t="s">
        <v>58</v>
      </c>
      <c r="C32" s="8">
        <f>IF(AND(SUM(C9:C10)&gt;0,(SUM(C9:C10)+C24)&gt;0),0,IF(AND(SUM(C9:C10)&gt;0,(SUM(C9:C10)+C24)&lt;0),(SUM(C9:C10)+C24),IF(AND(SUM(C9:C10)&lt;0,C24&lt;0),C24,0)))</f>
        <v>-1894597.8442868181</v>
      </c>
      <c r="D32" s="12" t="s">
        <v>3</v>
      </c>
      <c r="E32" s="1"/>
    </row>
    <row r="33" spans="1:5" x14ac:dyDescent="0.25">
      <c r="A33" s="1"/>
      <c r="B33" s="54" t="s">
        <v>42</v>
      </c>
      <c r="C33" s="8">
        <v>2</v>
      </c>
      <c r="D33" s="12" t="s">
        <v>19</v>
      </c>
      <c r="E33" s="1"/>
    </row>
    <row r="34" spans="1:5" x14ac:dyDescent="0.25">
      <c r="A34" s="1"/>
      <c r="B34" s="55" t="s">
        <v>71</v>
      </c>
      <c r="C34" s="9">
        <f>C32/C33</f>
        <v>-947298.92214340903</v>
      </c>
      <c r="D34" s="15" t="s">
        <v>3</v>
      </c>
      <c r="E34" s="1"/>
    </row>
    <row r="35" spans="1:5" x14ac:dyDescent="0.25">
      <c r="A35" s="1"/>
      <c r="B35" s="101"/>
      <c r="C35" s="102"/>
      <c r="D35" s="103"/>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2"/>
      <c r="B46" s="42"/>
      <c r="C46" s="42"/>
      <c r="D46" s="42"/>
      <c r="E46" s="42"/>
    </row>
    <row r="47" spans="1:5" hidden="1" x14ac:dyDescent="0.25">
      <c r="A47" s="42"/>
      <c r="B47" s="42"/>
      <c r="C47" s="42"/>
      <c r="D47" s="42"/>
      <c r="E47" s="42"/>
    </row>
    <row r="48" spans="1:5" hidden="1" x14ac:dyDescent="0.25">
      <c r="A48" s="42"/>
      <c r="B48" s="42"/>
      <c r="C48" s="42"/>
      <c r="D48" s="42"/>
      <c r="E48" s="42"/>
    </row>
    <row r="49" spans="1:5" hidden="1" x14ac:dyDescent="0.25">
      <c r="A49" s="42"/>
      <c r="B49" s="42"/>
      <c r="C49" s="42"/>
      <c r="D49" s="42"/>
      <c r="E49" s="42"/>
    </row>
    <row r="50" spans="1:5" hidden="1" x14ac:dyDescent="0.25">
      <c r="A50" s="42"/>
      <c r="B50" s="42"/>
      <c r="C50" s="42"/>
      <c r="D50" s="42"/>
      <c r="E50" s="42"/>
    </row>
    <row r="51" spans="1:5" hidden="1" x14ac:dyDescent="0.25">
      <c r="A51" s="42"/>
      <c r="B51" s="42"/>
      <c r="C51" s="42"/>
      <c r="D51" s="42"/>
      <c r="E51" s="42"/>
    </row>
    <row r="52" spans="1:5" hidden="1" x14ac:dyDescent="0.25">
      <c r="A52" s="42"/>
      <c r="B52" s="42"/>
      <c r="C52" s="42"/>
      <c r="D52" s="42"/>
      <c r="E52" s="42"/>
    </row>
    <row r="53" spans="1:5" hidden="1" x14ac:dyDescent="0.25">
      <c r="A53" s="42"/>
      <c r="B53" s="42"/>
      <c r="C53" s="42"/>
      <c r="D53" s="42"/>
      <c r="E53" s="42"/>
    </row>
    <row r="54" spans="1:5" hidden="1" x14ac:dyDescent="0.25">
      <c r="A54" s="42"/>
      <c r="B54" s="42"/>
      <c r="C54" s="42"/>
      <c r="D54" s="42"/>
      <c r="E54" s="42"/>
    </row>
    <row r="55" spans="1:5" hidden="1" x14ac:dyDescent="0.25">
      <c r="A55" s="42"/>
      <c r="E55" s="42"/>
    </row>
  </sheetData>
  <sheetProtection algorithmName="SHA-512" hashValue="OUGUQOQjxZ1ujcewAylu/N9sabkxF9JWrbHkS1NZCXZ69NDO0BEwcaBgBC+qW5vTjxZJYfdBu6QRk2/XkEG0qg==" saltValue="ju5KMkan0WCfzW3pQxL8iw==" spinCount="100000" sheet="1" objects="1" scenarios="1"/>
  <customSheetViews>
    <customSheetView guid="{7883F868-47B4-41A3-8E47-78C5A61242C9}" showPageBreaks="1" showGridLines="0" view="pageLayout" topLeftCell="A25">
      <pageMargins left="0.79166666666666663" right="0.7" top="0.75" bottom="0.75" header="0.3" footer="0.3"/>
      <pageSetup paperSize="9" orientation="portrait" r:id="rId1"/>
    </customSheetView>
  </customSheetViews>
  <mergeCells count="9">
    <mergeCell ref="B3:D5"/>
    <mergeCell ref="B35:D35"/>
    <mergeCell ref="B18:D18"/>
    <mergeCell ref="B31:D31"/>
    <mergeCell ref="B27:D27"/>
    <mergeCell ref="B29:D29"/>
    <mergeCell ref="B14:D14"/>
    <mergeCell ref="B8:D8"/>
    <mergeCell ref="B12:D12"/>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6"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135</v>
      </c>
      <c r="C3" s="96"/>
      <c r="D3" s="96"/>
      <c r="E3" s="1"/>
    </row>
    <row r="4" spans="1:5" ht="15" customHeight="1" x14ac:dyDescent="0.25">
      <c r="A4" s="1"/>
      <c r="B4" s="96"/>
      <c r="C4" s="96"/>
      <c r="D4" s="96"/>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7" t="s">
        <v>136</v>
      </c>
      <c r="C8" s="107"/>
      <c r="D8" s="107"/>
      <c r="E8" s="1"/>
    </row>
    <row r="9" spans="1:5" ht="26.25" x14ac:dyDescent="0.25">
      <c r="A9" s="1"/>
      <c r="B9" s="59" t="s">
        <v>166</v>
      </c>
      <c r="C9" s="7">
        <v>0</v>
      </c>
      <c r="D9" s="50" t="s">
        <v>3</v>
      </c>
      <c r="E9" s="1"/>
    </row>
    <row r="10" spans="1:5" x14ac:dyDescent="0.25">
      <c r="A10" s="1"/>
      <c r="B10" s="57" t="s">
        <v>137</v>
      </c>
      <c r="C10" s="7">
        <v>0</v>
      </c>
      <c r="D10" s="50" t="s">
        <v>3</v>
      </c>
      <c r="E10" s="1"/>
    </row>
    <row r="11" spans="1:5" x14ac:dyDescent="0.25">
      <c r="A11" s="1"/>
      <c r="B11" s="55" t="s">
        <v>40</v>
      </c>
      <c r="C11" s="9">
        <f>C10-C9</f>
        <v>0</v>
      </c>
      <c r="D11" s="25" t="s">
        <v>3</v>
      </c>
      <c r="E11" s="1"/>
    </row>
    <row r="12" spans="1:5" x14ac:dyDescent="0.25">
      <c r="A12" s="1"/>
      <c r="B12" s="98" t="s">
        <v>168</v>
      </c>
      <c r="C12" s="99"/>
      <c r="D12" s="100"/>
      <c r="E12" s="1"/>
    </row>
    <row r="13" spans="1:5" ht="26.25" x14ac:dyDescent="0.25">
      <c r="A13" s="1"/>
      <c r="B13" s="70" t="s">
        <v>167</v>
      </c>
      <c r="C13" s="7">
        <v>767004</v>
      </c>
      <c r="D13" s="50" t="s">
        <v>3</v>
      </c>
      <c r="E13" s="1"/>
    </row>
    <row r="14" spans="1:5" x14ac:dyDescent="0.25">
      <c r="A14" s="1"/>
      <c r="B14" s="57" t="s">
        <v>138</v>
      </c>
      <c r="C14" s="7">
        <v>730508</v>
      </c>
      <c r="D14" s="50" t="s">
        <v>3</v>
      </c>
      <c r="E14" s="1"/>
    </row>
    <row r="15" spans="1:5" x14ac:dyDescent="0.25">
      <c r="A15" s="1"/>
      <c r="B15" s="55" t="s">
        <v>40</v>
      </c>
      <c r="C15" s="9">
        <f>C14-C13</f>
        <v>-36496</v>
      </c>
      <c r="D15" s="25" t="s">
        <v>3</v>
      </c>
      <c r="E15" s="1"/>
    </row>
    <row r="16" spans="1:5" x14ac:dyDescent="0.25">
      <c r="A16" s="1"/>
      <c r="B16" s="24" t="s">
        <v>139</v>
      </c>
      <c r="C16" s="10">
        <f>C11+C15</f>
        <v>-36496</v>
      </c>
      <c r="D16" s="11"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ht="14.25" hidden="1" customHeight="1" x14ac:dyDescent="0.25"/>
  </sheetData>
  <sheetProtection algorithmName="SHA-512" hashValue="nNzjqbzpD+SKFkf2+IYJbI7cTYzH7wJYnbNhfSIS6HJpEPk3skS/u80KgC38SdamJuf3e6Fya15STwayYDV/rw==" saltValue="SzjTsafsOeISW0sh1epqWA==" spinCount="100000" sheet="1" objects="1" scenarios="1"/>
  <customSheetViews>
    <customSheetView guid="{7883F868-47B4-41A3-8E47-78C5A61242C9}" showPageBreaks="1" showGridLines="0" view="pageLayout" topLeftCell="A28">
      <selection activeCell="B14" sqref="B14:D14"/>
      <pageMargins left="0.79166666666666663" right="0.7" top="0.75" bottom="0.75" header="0.3" footer="0.3"/>
      <pageSetup paperSize="9" orientation="portrait" r:id="rId1"/>
    </customSheetView>
  </customSheetViews>
  <mergeCells count="3">
    <mergeCell ref="B12:D12"/>
    <mergeCell ref="B3:D4"/>
    <mergeCell ref="B8:D8"/>
  </mergeCells>
  <pageMargins left="0.79166666666666663"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Navngivne områder</vt:lpstr>
      </vt:variant>
      <vt:variant>
        <vt:i4>15</vt:i4>
      </vt:variant>
    </vt:vector>
  </HeadingPairs>
  <TitlesOfParts>
    <vt:vector size="32"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Korrektion af ØR2023</vt:lpstr>
      <vt:lpstr>Fane 7. Skattesagen</vt:lpstr>
      <vt:lpstr>Fane 8. Anlægsprojekter (§ 19)</vt:lpstr>
      <vt:lpstr>Fane 9.1. Varige tillæg</vt:lpstr>
      <vt:lpstr>Fane 9.2. Engangstillæg</vt:lpstr>
      <vt:lpstr>Fane 10. Periodevise driftsomk.</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2024-08-13T09:12:48Z</dcterms:modified>
</cp:coreProperties>
</file>