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Spildevand\Middelfart Spildevand AS (S067)\ØR2024\"/>
    </mc:Choice>
  </mc:AlternateContent>
  <xr:revisionPtr revIDLastSave="0" documentId="13_ncr:1_{C19BF4CB-1D60-4519-A76B-2189FA5D6808}"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4"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2024'!$B$8:$D$37</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4" l="1"/>
  <c r="E18" i="44" s="1"/>
  <c r="E17" i="44"/>
  <c r="E25" i="44" l="1"/>
  <c r="E29" i="44" s="1"/>
  <c r="E31" i="44" s="1"/>
  <c r="C9" i="2"/>
  <c r="C20" i="15" l="1"/>
  <c r="C32" i="2"/>
  <c r="E30" i="20"/>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5" i="30" l="1"/>
  <c r="G19" i="30" s="1"/>
  <c r="G21" i="30" l="1"/>
  <c r="G25" i="30" l="1"/>
  <c r="C10" i="37" l="1"/>
  <c r="C19" i="37" s="1"/>
  <c r="C20" i="37" s="1"/>
  <c r="C10" i="2" l="1"/>
  <c r="G53" i="30" l="1"/>
  <c r="G27" i="30" l="1"/>
  <c r="G31" i="30" l="1"/>
  <c r="E10" i="37"/>
  <c r="E19" i="37" s="1"/>
  <c r="E20" i="37" s="1"/>
  <c r="G33" i="30" l="1"/>
  <c r="G37" i="30" s="1"/>
  <c r="G39" i="30" l="1"/>
  <c r="G43" i="30" s="1"/>
  <c r="C11" i="2"/>
  <c r="G45" i="30" l="1"/>
  <c r="G54" i="36"/>
  <c r="C19" i="2" s="1"/>
  <c r="G52" i="30" l="1"/>
  <c r="G54" i="30" s="1"/>
  <c r="G58" i="30" s="1"/>
  <c r="G59" i="36"/>
  <c r="C13" i="15" s="1"/>
  <c r="C16" i="2"/>
  <c r="C17" i="2" s="1"/>
  <c r="C18" i="2" l="1"/>
  <c r="C20" i="2" s="1"/>
  <c r="G64" i="36"/>
  <c r="C13" i="22" s="1"/>
  <c r="G69" i="36" l="1"/>
  <c r="C13" i="23" s="1"/>
  <c r="G59" i="30"/>
  <c r="G63" i="30" s="1"/>
  <c r="G64" i="30" l="1"/>
  <c r="G68" i="30" s="1"/>
  <c r="C12" i="15"/>
  <c r="C37" i="2"/>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<sst xmlns="http://schemas.openxmlformats.org/spreadsheetml/2006/main" count="658" uniqueCount="294">
  <si>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</si>
  <si>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</si>
  <si>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</si>
  <si>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</si>
  <si>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</si>
  <si>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</si>
  <si>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</si>
  <si>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</si>
  <si>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</si>
  <si>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</si>
  <si>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</si>
  <si>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</si>
  <si>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</si>
  <si>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</si>
  <si>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</si>
  <si>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</si>
  <si>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</si>
  <si>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</si>
  <si>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</si>
  <si>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</si>
  <si>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</si>
  <si>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</si>
  <si>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</si>
  <si>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</si>
  <si>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</si>
  <si>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</si>
  <si>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</si>
  <si>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</si>
  <si>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</si>
  <si>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</si>
  <si>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</si>
  <si>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</si>
  <si>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</si>
  <si>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</si>
  <si>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</si>
  <si>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</si>
  <si>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</si>
  <si>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</si>
  <si>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</si>
  <si>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</si>
  <si>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</si>
  <si>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</si>
  <si>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</si>
  <si>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</si>
  <si>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</si>
  <si>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</si>
  <si>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</si>
  <si>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</si>
  <si>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</si>
  <si>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</si>
  <si>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</si>
  <si>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</si>
  <si>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</si>
  <si>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</si>
  <si>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</si>
  <si>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</si>
  <si>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</si>
  <si>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</si>
  <si>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</si>
  <si>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</si>
  <si>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</si>
  <si>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</si>
  <si>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</si>
  <si>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</si>
  <si>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</si>
  <si>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</si>
  <si>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</si>
  <si>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</si>
  <si>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</si>
  <si>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</si>
  <si>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</si>
  <si>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</si>
  <si>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</si>
  <si>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</si>
  <si>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</si>
  <si>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</si>
  <si>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</si>
  <si>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</si>
  <si>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</si>
  <si>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</si>
  <si>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</si>
  <si>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</si>
  <si>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</si>
  <si>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</si>
  <si>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</si>
  <si>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</si>
  <si>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</si>
  <si>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</si>
  <si>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</si>
  <si>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</si>
  <si>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</si>
  <si>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</si>
  <si>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</si>
  <si>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</si>
  <si>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</si>
  <si>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</si>
  <si>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</si>
  <si>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</si>
  <si>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</si>
  <si>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</si>
  <si>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</si>
  <si>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</si>
  <si>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</si>
  <si>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</si>
  <si>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</si>
  <si>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</si>
  <si>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</si>
  <si>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</si>
  <si>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</si>
  <si>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</si>
  <si>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</si>
  <si>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</si>
  <si>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</si>
  <si>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</si>
  <si>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</si>
  <si>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</si>
  <si>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</si>
  <si>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</si>
  <si>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</si>
  <si>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</si>
  <si>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</si>
  <si>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</si>
  <si>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</si>
  <si>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</si>
  <si>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</si>
  <si>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</si>
  <si>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</si>
  <si>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</si>
  <si>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</si>
  <si>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</si>
  <si>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</si>
  <si>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</si>
  <si>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</si>
  <si>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</si>
  <si>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</si>
  <si>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</si>
  <si>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</si>
  <si>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</si>
  <si>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</si>
  <si>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</si>
  <si>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</si>
  <si>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</si>
  <si>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</si>
  <si>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</si>
  <si>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</si>
  <si>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</si>
  <si>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</si>
  <si>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</si>
  <si>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</si>
  <si>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</si>
  <si>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</si>
  <si>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</si>
  <si>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</si>
  <si>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</si>
  <si>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</si>
  <si>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</si>
  <si>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</si>
  <si>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</si>
  <si>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</si>
  <si>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</si>
  <si>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</si>
  <si>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</si>
  <si>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</si>
  <si>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</si>
  <si>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</si>
  <si>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</si>
  <si>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</si>
  <si>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</si>
  <si>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</si>
  <si>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</si>
  <si>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</si>
  <si>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</si>
  <si>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</si>
  <si>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</si>
  <si>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</si>
  <si>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</si>
  <si>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</si>
  <si>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</si>
  <si>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</si>
  <si>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</si>
  <si>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</si>
  <si>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</si>
  <si>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</si>
  <si>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</si>
  <si>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</si>
  <si>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</si>
  <si>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</si>
  <si>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</si>
  <si>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</si>
  <si>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</si>
  <si>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</si>
  <si>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</si>
  <si>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</si>
  <si>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</si>
  <si>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</si>
  <si>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</si>
  <si>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</si>
  <si>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</si>
  <si>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</si>
  <si>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</si>
  <si>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</si>
  <si>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</si>
  <si>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</si>
  <si>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</si>
  <si>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</si>
  <si>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</si>
  <si>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</si>
  <si>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</si>
  <si>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</si>
  <si>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</si>
  <si>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</si>
  <si>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</si>
  <si>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</si>
  <si>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</si>
  <si>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</si>
  <si>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</si>
  <si>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</si>
  <si>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</si>
  <si>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</si>
  <si>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</si>
  <si>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</si>
  <si>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</si>
  <si>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</si>
  <si>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</si>
  <si>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</si>
  <si>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</si>
  <si>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</si>
  <si>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</si>
  <si>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</si>
  <si>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</si>
  <si>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</si>
  <si>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</si>
  <si>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</si>
  <si>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</si>
  <si>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</si>
  <si>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</si>
  <si>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</si>
  <si>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</si>
  <si>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</si>
  <si>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</si>
  <si>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</si>
  <si>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</si>
  <si>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</si>
  <si>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</si>
  <si>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</si>
  <si>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</si>
  <si>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</si>
  <si>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</si>
  <si>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</si>
  <si>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</si>
  <si>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</si>
  <si>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</si>
  <si>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Individuelt effektiviseringskrav til de økonomiske rammer for 2024-2027</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</si>
  <si>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</si>
  <si>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</si>
  <si>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</si>
  <si>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</si>
  <si>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</si>
  <si>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</si>
  <si>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</si>
  <si>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</si>
  <si>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</si>
  <si>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</si>
  <si>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</si>
  <si>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</si>
  <si>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</si>
  <si>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anlægsprojekter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</si>
  <si>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</si>
  <si>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</si>
  <si>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</si>
  <si>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</si>
  <si>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</si>
  <si>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Overløbsregistrering 2021</t>
  </si>
  <si>
    <t>Overløbsregistrering 2022</t>
  </si>
  <si>
    <t>Vandplan - 2021 (v/Holse)</t>
  </si>
  <si>
    <t>Vandplan 2022</t>
  </si>
  <si>
    <t>Udvidelser (byggemodninger) 2022</t>
  </si>
  <si>
    <t>Ingen engangstillæg</t>
  </si>
  <si>
    <t>Spildevandsafgift</t>
  </si>
  <si>
    <t>Afgift til Forsyningssekretariatet</t>
  </si>
  <si>
    <t>Køb af ydelser og produkter fra andre vandselskaber reguleret af vandsektorloven</t>
  </si>
  <si>
    <t>Ejendomsskatter</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</si>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</sst>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0" fontId="8" fillId="10" borderId="3" xfId="4" applyNumberFormat="1" applyFont="1" applyFill="1" applyBorder="1" applyProtection="1"/>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49" fontId="8" fillId="8" borderId="2" xfId="0" applyNumberFormat="1" applyFont="1" applyFill="1" applyBorder="1" applyAlignment="1" applyProtection="1">
      <alignment wrapText="1"/>
    </xf>
    <xf numFmtId="0" fontId="8" fillId="4" borderId="1" xfId="0" applyFont="1" applyFill="1" applyBorder="1" applyAlignment="1" applyProtection="1">
      <alignment horizontal="left"/>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1" fontId="8" fillId="8"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9" t="s">
        <v>4</v>
      </c>
      <c r="E6" s="89"/>
      <c r="F6" s="89"/>
      <c r="G6" s="89"/>
      <c r="H6" s="3"/>
      <c r="I6" s="1"/>
    </row>
    <row r="7" spans="1:9" ht="15" customHeight="1" x14ac:dyDescent="0.25">
      <c r="A7" s="1"/>
      <c r="B7" s="1"/>
      <c r="C7" s="3"/>
      <c r="D7" s="89"/>
      <c r="E7" s="89"/>
      <c r="F7" s="89"/>
      <c r="G7" s="89"/>
      <c r="H7" s="3"/>
      <c r="I7" s="1"/>
    </row>
    <row r="8" spans="1:9" ht="15.75" x14ac:dyDescent="0.25">
      <c r="A8" s="1"/>
      <c r="B8" s="1"/>
      <c r="C8" s="4"/>
      <c r="D8" s="97" t="s">
        <v>253</v>
      </c>
      <c r="E8" s="97"/>
      <c r="F8" s="97"/>
      <c r="G8" s="97"/>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6" t="s">
        <v>5</v>
      </c>
      <c r="E11" s="96"/>
      <c r="F11" s="96"/>
      <c r="G11" s="96"/>
      <c r="H11" s="5"/>
      <c r="I11" s="1"/>
    </row>
    <row r="12" spans="1:9" x14ac:dyDescent="0.25">
      <c r="A12" s="1"/>
      <c r="B12" s="1"/>
      <c r="C12" s="1"/>
      <c r="D12" s="1"/>
      <c r="E12" s="1"/>
      <c r="F12" s="1"/>
      <c r="G12" s="1"/>
      <c r="H12" s="5"/>
      <c r="I12" s="1"/>
    </row>
    <row r="13" spans="1:9" x14ac:dyDescent="0.25">
      <c r="A13" s="1"/>
      <c r="B13" s="1"/>
      <c r="C13" s="6" t="s">
        <v>6</v>
      </c>
      <c r="D13" s="101" t="s">
        <v>196</v>
      </c>
      <c r="E13" s="102"/>
      <c r="F13" s="102"/>
      <c r="G13" s="103"/>
      <c r="H13" s="5"/>
      <c r="I13" s="1"/>
    </row>
    <row r="14" spans="1:9" x14ac:dyDescent="0.25">
      <c r="A14" s="1"/>
      <c r="B14" s="1"/>
      <c r="C14" s="6" t="s">
        <v>16</v>
      </c>
      <c r="D14" s="86" t="s">
        <v>197</v>
      </c>
      <c r="E14" s="87"/>
      <c r="F14" s="87"/>
      <c r="G14" s="88"/>
      <c r="H14" s="5"/>
      <c r="I14" s="1"/>
    </row>
    <row r="15" spans="1:9" x14ac:dyDescent="0.25">
      <c r="A15" s="1"/>
      <c r="B15" s="1"/>
      <c r="C15" s="6" t="s">
        <v>31</v>
      </c>
      <c r="D15" s="86" t="s">
        <v>263</v>
      </c>
      <c r="E15" s="87"/>
      <c r="F15" s="87"/>
      <c r="G15" s="88"/>
      <c r="H15" s="5"/>
      <c r="I15" s="1"/>
    </row>
    <row r="16" spans="1:9" x14ac:dyDescent="0.25">
      <c r="A16" s="1"/>
      <c r="B16" s="1"/>
      <c r="C16" s="6" t="s">
        <v>32</v>
      </c>
      <c r="D16" s="86" t="s">
        <v>264</v>
      </c>
      <c r="E16" s="87"/>
      <c r="F16" s="87"/>
      <c r="G16" s="88"/>
      <c r="H16" s="5"/>
      <c r="I16" s="1"/>
    </row>
    <row r="17" spans="1:9" x14ac:dyDescent="0.25">
      <c r="A17" s="1"/>
      <c r="B17" s="1"/>
      <c r="C17" s="6" t="s">
        <v>101</v>
      </c>
      <c r="D17" s="86" t="s">
        <v>198</v>
      </c>
      <c r="E17" s="87"/>
      <c r="F17" s="87"/>
      <c r="G17" s="88"/>
      <c r="H17" s="5"/>
      <c r="I17" s="1"/>
    </row>
    <row r="18" spans="1:9" x14ac:dyDescent="0.25">
      <c r="A18" s="1"/>
      <c r="B18" s="1"/>
      <c r="C18" s="6" t="s">
        <v>88</v>
      </c>
      <c r="D18" s="98" t="s">
        <v>79</v>
      </c>
      <c r="E18" s="99"/>
      <c r="F18" s="99"/>
      <c r="G18" s="100"/>
      <c r="H18" s="5"/>
      <c r="I18" s="1"/>
    </row>
    <row r="19" spans="1:9" x14ac:dyDescent="0.25">
      <c r="A19" s="1"/>
      <c r="B19" s="1"/>
      <c r="C19" s="6" t="s">
        <v>89</v>
      </c>
      <c r="D19" s="98" t="s">
        <v>80</v>
      </c>
      <c r="E19" s="99"/>
      <c r="F19" s="99"/>
      <c r="G19" s="100"/>
      <c r="H19" s="5"/>
      <c r="I19" s="1"/>
    </row>
    <row r="20" spans="1:9" x14ac:dyDescent="0.25">
      <c r="A20" s="1"/>
      <c r="B20" s="1"/>
      <c r="C20" s="6" t="s">
        <v>7</v>
      </c>
      <c r="D20" s="98" t="s">
        <v>10</v>
      </c>
      <c r="E20" s="99"/>
      <c r="F20" s="99"/>
      <c r="G20" s="100"/>
      <c r="H20" s="5"/>
      <c r="I20" s="1"/>
    </row>
    <row r="21" spans="1:9" x14ac:dyDescent="0.25">
      <c r="A21" s="1"/>
      <c r="B21" s="1"/>
      <c r="C21" s="6" t="s">
        <v>90</v>
      </c>
      <c r="D21" s="90" t="s">
        <v>12</v>
      </c>
      <c r="E21" s="91"/>
      <c r="F21" s="91"/>
      <c r="G21" s="92"/>
      <c r="H21" s="5"/>
      <c r="I21" s="1"/>
    </row>
    <row r="22" spans="1:9" x14ac:dyDescent="0.25">
      <c r="A22" s="1"/>
      <c r="B22" s="1"/>
      <c r="C22" s="6" t="s">
        <v>71</v>
      </c>
      <c r="D22" s="93" t="s">
        <v>199</v>
      </c>
      <c r="E22" s="94"/>
      <c r="F22" s="94"/>
      <c r="G22" s="95"/>
      <c r="H22" s="5"/>
      <c r="I22" s="1"/>
    </row>
    <row r="23" spans="1:9" x14ac:dyDescent="0.25">
      <c r="A23" s="1"/>
      <c r="B23" s="1"/>
      <c r="C23" s="6" t="s">
        <v>8</v>
      </c>
      <c r="D23" s="93" t="s">
        <v>181</v>
      </c>
      <c r="E23" s="94"/>
      <c r="F23" s="94"/>
      <c r="G23" s="95"/>
      <c r="H23" s="5"/>
      <c r="I23" s="1"/>
    </row>
    <row r="24" spans="1:9" x14ac:dyDescent="0.25">
      <c r="A24" s="1"/>
      <c r="B24" s="1"/>
      <c r="C24" s="6" t="s">
        <v>9</v>
      </c>
      <c r="D24" s="93" t="s">
        <v>200</v>
      </c>
      <c r="E24" s="94"/>
      <c r="F24" s="94"/>
      <c r="G24" s="95"/>
      <c r="H24" s="5"/>
      <c r="I24" s="1"/>
    </row>
    <row r="25" spans="1:9" x14ac:dyDescent="0.25">
      <c r="A25" s="1"/>
      <c r="B25" s="1"/>
      <c r="C25" s="6" t="s">
        <v>166</v>
      </c>
      <c r="D25" s="93" t="s">
        <v>160</v>
      </c>
      <c r="E25" s="94"/>
      <c r="F25" s="94"/>
      <c r="G25" s="95"/>
      <c r="H25" s="1"/>
      <c r="I25" s="1"/>
    </row>
    <row r="26" spans="1:9" x14ac:dyDescent="0.25">
      <c r="A26" s="1"/>
      <c r="B26" s="1"/>
      <c r="C26" s="6" t="s">
        <v>167</v>
      </c>
      <c r="D26" s="93" t="s">
        <v>72</v>
      </c>
      <c r="E26" s="94"/>
      <c r="F26" s="94"/>
      <c r="G26" s="95"/>
      <c r="H26" s="1"/>
      <c r="I26" s="1"/>
    </row>
    <row r="27" spans="1:9" x14ac:dyDescent="0.25">
      <c r="A27" s="1"/>
      <c r="B27" s="1"/>
      <c r="C27" s="6" t="s">
        <v>168</v>
      </c>
      <c r="D27" s="93" t="s">
        <v>73</v>
      </c>
      <c r="E27" s="94"/>
      <c r="F27" s="94"/>
      <c r="G27" s="95"/>
      <c r="H27" s="1"/>
      <c r="I27" s="1"/>
    </row>
    <row r="28" spans="1:9" x14ac:dyDescent="0.25">
      <c r="A28" s="1"/>
      <c r="B28" s="1"/>
      <c r="C28" s="6" t="s">
        <v>15</v>
      </c>
      <c r="D28" s="93" t="s">
        <v>74</v>
      </c>
      <c r="E28" s="94"/>
      <c r="F28" s="94"/>
      <c r="G28" s="95"/>
      <c r="H28" s="1"/>
      <c r="I28" s="1"/>
    </row>
    <row r="29" spans="1:9" x14ac:dyDescent="0.25">
      <c r="A29" s="1"/>
      <c r="B29" s="1"/>
      <c r="C29" s="6" t="s">
        <v>34</v>
      </c>
      <c r="D29" s="93" t="s">
        <v>114</v>
      </c>
      <c r="E29" s="94"/>
      <c r="F29" s="94"/>
      <c r="G29" s="95"/>
      <c r="H29" s="1"/>
      <c r="I29" s="1"/>
    </row>
    <row r="30" spans="1:9" x14ac:dyDescent="0.25">
      <c r="A30" s="1"/>
      <c r="B30" s="1"/>
      <c r="C30" s="6" t="s">
        <v>35</v>
      </c>
      <c r="D30" s="93" t="s">
        <v>33</v>
      </c>
      <c r="E30" s="94"/>
      <c r="F30" s="94"/>
      <c r="G30" s="95"/>
      <c r="H30" s="1"/>
      <c r="I30" s="1"/>
    </row>
    <row r="31" spans="1:9" x14ac:dyDescent="0.25">
      <c r="A31" s="1"/>
      <c r="B31" s="1"/>
      <c r="C31" s="6" t="s">
        <v>169</v>
      </c>
      <c r="D31" s="104" t="s">
        <v>87</v>
      </c>
      <c r="E31" s="105"/>
      <c r="F31" s="105"/>
      <c r="G31" s="106"/>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fxkYSBk1A4jx9Xu5wgahSeu+iikUpK3zf0i9zeWBGzfPezRBQq6NAvTDurxcGijfH6cgrruc3fhlX1nu38zCuw==" saltValue="ErT5EIzgb2//E+QYahRdZA=="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93</v>
      </c>
      <c r="C3" s="107"/>
      <c r="D3" s="107"/>
      <c r="E3" s="1"/>
      <c r="F3" s="1"/>
    </row>
    <row r="4" spans="1:6" ht="15" customHeight="1" x14ac:dyDescent="0.25">
      <c r="A4" s="1"/>
      <c r="B4" s="107"/>
      <c r="C4" s="107"/>
      <c r="D4" s="10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4" t="s">
        <v>224</v>
      </c>
      <c r="C8" s="115"/>
      <c r="D8" s="116"/>
      <c r="E8" s="1"/>
      <c r="F8" s="1"/>
    </row>
    <row r="9" spans="1:6" ht="15" customHeight="1" x14ac:dyDescent="0.25">
      <c r="A9" s="1"/>
      <c r="B9" s="27" t="s">
        <v>29</v>
      </c>
      <c r="C9" s="50" t="s">
        <v>225</v>
      </c>
      <c r="D9" s="11"/>
      <c r="E9" s="1"/>
      <c r="F9" s="1"/>
    </row>
    <row r="10" spans="1:6" ht="15" customHeight="1" x14ac:dyDescent="0.25">
      <c r="A10" s="1"/>
      <c r="B10" s="77" t="s">
        <v>278</v>
      </c>
      <c r="C10" s="9">
        <v>1400451</v>
      </c>
      <c r="D10" s="14" t="s">
        <v>3</v>
      </c>
      <c r="E10" s="1"/>
      <c r="F10" s="1"/>
    </row>
    <row r="11" spans="1:6" ht="15" customHeight="1" x14ac:dyDescent="0.25">
      <c r="A11" s="1"/>
      <c r="B11" s="77" t="s">
        <v>279</v>
      </c>
      <c r="C11" s="9">
        <v>88404</v>
      </c>
      <c r="D11" s="14" t="s">
        <v>3</v>
      </c>
      <c r="E11" s="1"/>
      <c r="F11" s="1"/>
    </row>
    <row r="12" spans="1:6" ht="26.25" x14ac:dyDescent="0.25">
      <c r="A12" s="1"/>
      <c r="B12" s="29" t="s">
        <v>280</v>
      </c>
      <c r="C12" s="9">
        <v>179450</v>
      </c>
      <c r="D12" s="14" t="s">
        <v>3</v>
      </c>
      <c r="E12" s="1"/>
      <c r="F12" s="1"/>
    </row>
    <row r="13" spans="1:6" x14ac:dyDescent="0.25">
      <c r="A13" s="1"/>
      <c r="B13" s="77" t="s">
        <v>281</v>
      </c>
      <c r="C13" s="9">
        <v>84951</v>
      </c>
      <c r="D13" s="14" t="s">
        <v>3</v>
      </c>
      <c r="E13" s="1"/>
      <c r="F13" s="1"/>
    </row>
    <row r="14" spans="1:6" x14ac:dyDescent="0.25">
      <c r="A14" s="1"/>
      <c r="B14" s="77"/>
      <c r="C14" s="9"/>
      <c r="D14" s="14" t="s">
        <v>3</v>
      </c>
      <c r="E14" s="1"/>
      <c r="F14" s="1"/>
    </row>
    <row r="15" spans="1:6" x14ac:dyDescent="0.25">
      <c r="A15" s="1"/>
      <c r="B15" s="77"/>
      <c r="C15" s="9"/>
      <c r="D15" s="14" t="s">
        <v>3</v>
      </c>
      <c r="E15" s="1"/>
      <c r="F15" s="1"/>
    </row>
    <row r="16" spans="1:6" x14ac:dyDescent="0.25">
      <c r="A16" s="1"/>
      <c r="B16" s="77"/>
      <c r="C16" s="9"/>
      <c r="D16" s="14" t="s">
        <v>3</v>
      </c>
      <c r="E16" s="1"/>
      <c r="F16" s="1"/>
    </row>
    <row r="17" spans="1:6" x14ac:dyDescent="0.25">
      <c r="A17" s="1"/>
      <c r="B17" s="77"/>
      <c r="C17" s="9"/>
      <c r="D17" s="14" t="s">
        <v>3</v>
      </c>
      <c r="E17" s="1"/>
      <c r="F17" s="1"/>
    </row>
    <row r="18" spans="1:6" x14ac:dyDescent="0.25">
      <c r="A18" s="1"/>
      <c r="B18" s="77"/>
      <c r="C18" s="9"/>
      <c r="D18" s="14" t="s">
        <v>3</v>
      </c>
      <c r="E18" s="1"/>
      <c r="F18" s="1"/>
    </row>
    <row r="19" spans="1:6" x14ac:dyDescent="0.25">
      <c r="A19" s="1"/>
      <c r="B19" s="77"/>
      <c r="C19" s="9"/>
      <c r="D19" s="14" t="s">
        <v>3</v>
      </c>
      <c r="E19" s="1"/>
      <c r="F19" s="1"/>
    </row>
    <row r="20" spans="1:6" x14ac:dyDescent="0.25">
      <c r="A20" s="1"/>
      <c r="B20" s="33" t="s">
        <v>226</v>
      </c>
      <c r="C20" s="12">
        <f>SUM(C10:C19)</f>
        <v>1753256</v>
      </c>
      <c r="D20" s="13" t="s">
        <v>3</v>
      </c>
      <c r="E20" s="1"/>
      <c r="F20" s="1"/>
    </row>
    <row r="21" spans="1:6" x14ac:dyDescent="0.25">
      <c r="A21" s="1"/>
      <c r="B21" s="33" t="s">
        <v>227</v>
      </c>
      <c r="C21" s="12">
        <f>C20*(1+'Fane 15. Nøgletal'!C16)^2</f>
        <v>2048028.5468518399</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14" t="s">
        <v>99</v>
      </c>
      <c r="C24" s="115"/>
      <c r="D24" s="116"/>
      <c r="E24" s="1"/>
      <c r="F24" s="1"/>
    </row>
    <row r="25" spans="1:6" x14ac:dyDescent="0.25">
      <c r="A25" s="1"/>
      <c r="B25" s="77" t="s">
        <v>109</v>
      </c>
      <c r="C25" s="9">
        <v>0</v>
      </c>
      <c r="D25" s="14" t="s">
        <v>3</v>
      </c>
      <c r="E25" s="1"/>
      <c r="F25" s="1"/>
    </row>
    <row r="26" spans="1:6" x14ac:dyDescent="0.25">
      <c r="A26" s="1"/>
      <c r="B26" s="77" t="s">
        <v>123</v>
      </c>
      <c r="C26" s="9">
        <v>0</v>
      </c>
      <c r="D26" s="14" t="s">
        <v>3</v>
      </c>
      <c r="E26" s="1"/>
      <c r="F26" s="1"/>
    </row>
    <row r="27" spans="1:6" x14ac:dyDescent="0.25">
      <c r="A27" s="1"/>
      <c r="B27" s="77" t="s">
        <v>142</v>
      </c>
      <c r="C27" s="9">
        <v>0</v>
      </c>
      <c r="D27" s="14" t="s">
        <v>3</v>
      </c>
      <c r="E27" s="1"/>
      <c r="F27" s="1"/>
    </row>
    <row r="28" spans="1:6" x14ac:dyDescent="0.25">
      <c r="A28" s="1"/>
      <c r="B28" s="34" t="s">
        <v>262</v>
      </c>
      <c r="C28" s="9">
        <v>0</v>
      </c>
      <c r="D28" s="38" t="s">
        <v>3</v>
      </c>
      <c r="E28" s="1"/>
      <c r="F28" s="1"/>
    </row>
    <row r="29" spans="1:6" x14ac:dyDescent="0.25">
      <c r="A29" s="1"/>
      <c r="B29" s="114"/>
      <c r="C29" s="115"/>
      <c r="D29" s="116"/>
      <c r="E29" s="1"/>
      <c r="F29" s="1"/>
    </row>
    <row r="30" spans="1:6" x14ac:dyDescent="0.25">
      <c r="A30" s="1"/>
      <c r="B30" s="1"/>
      <c r="C30" s="1"/>
      <c r="D30" s="1"/>
      <c r="E30" s="1"/>
      <c r="F30" s="1"/>
    </row>
    <row r="31" spans="1:6" x14ac:dyDescent="0.25">
      <c r="A31" s="1"/>
      <c r="B31" s="1"/>
      <c r="C31" s="1"/>
      <c r="D31" s="1"/>
      <c r="E31" s="1"/>
      <c r="F31" s="1"/>
    </row>
    <row r="32" spans="1:6" x14ac:dyDescent="0.25">
      <c r="A32" s="1"/>
      <c r="B32" s="114" t="s">
        <v>81</v>
      </c>
      <c r="C32" s="115"/>
      <c r="D32" s="116"/>
      <c r="E32" s="1"/>
      <c r="F32" s="1"/>
    </row>
    <row r="33" spans="1:6" x14ac:dyDescent="0.25">
      <c r="A33" s="1"/>
      <c r="B33" s="77" t="s">
        <v>109</v>
      </c>
      <c r="C33" s="9">
        <v>0</v>
      </c>
      <c r="D33" s="14" t="s">
        <v>3</v>
      </c>
      <c r="E33" s="1"/>
      <c r="F33" s="1"/>
    </row>
    <row r="34" spans="1:6" x14ac:dyDescent="0.25">
      <c r="A34" s="1"/>
      <c r="B34" s="77" t="s">
        <v>123</v>
      </c>
      <c r="C34" s="9">
        <v>0</v>
      </c>
      <c r="D34" s="14" t="s">
        <v>3</v>
      </c>
      <c r="E34" s="1"/>
      <c r="F34" s="1"/>
    </row>
    <row r="35" spans="1:6" x14ac:dyDescent="0.25">
      <c r="A35" s="1"/>
      <c r="B35" s="77" t="s">
        <v>142</v>
      </c>
      <c r="C35" s="9">
        <v>0</v>
      </c>
      <c r="D35" s="14" t="s">
        <v>3</v>
      </c>
      <c r="E35" s="1"/>
      <c r="F35" s="1"/>
    </row>
    <row r="36" spans="1:6" x14ac:dyDescent="0.25">
      <c r="A36" s="1"/>
      <c r="B36" s="34" t="s">
        <v>262</v>
      </c>
      <c r="C36" s="9">
        <v>0</v>
      </c>
      <c r="D36" s="38" t="s">
        <v>3</v>
      </c>
      <c r="E36" s="1"/>
      <c r="F36" s="1"/>
    </row>
    <row r="37" spans="1:6" x14ac:dyDescent="0.25">
      <c r="A37" s="1"/>
      <c r="B37" s="114"/>
      <c r="C37" s="115"/>
      <c r="D37" s="116"/>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yDzrbevtkDtp3KwwCWbAZBfjhh/dWNXW7iucCX/GpueUSCJ4nCfbWRnIgrPweAQvgp7ZftQgRoyi7g8enxPG0g==" saltValue="1rB4vQKHJjujVAtk3vf12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9FB2C-E7B2-4F36-9DFA-29E4A8644E27}">
  <dimension ref="A1:G51"/>
  <sheetViews>
    <sheetView showGridLines="0" view="pageLayout" zoomScale="80" zoomScaleNormal="100" zoomScalePageLayoutView="8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206</v>
      </c>
      <c r="C3" s="110"/>
      <c r="D3" s="110"/>
      <c r="E3" s="110"/>
      <c r="F3" s="110"/>
      <c r="G3" s="1"/>
    </row>
    <row r="4" spans="1:7" ht="15" customHeight="1" x14ac:dyDescent="0.25">
      <c r="A4" s="1"/>
      <c r="B4" s="110"/>
      <c r="C4" s="110"/>
      <c r="D4" s="110"/>
      <c r="E4" s="110"/>
      <c r="F4" s="110"/>
      <c r="G4" s="1"/>
    </row>
    <row r="5" spans="1:7" ht="15" customHeight="1" x14ac:dyDescent="0.25">
      <c r="A5" s="1"/>
      <c r="B5" s="70"/>
      <c r="C5" s="70"/>
      <c r="D5" s="70"/>
      <c r="E5" s="70"/>
      <c r="F5" s="70"/>
      <c r="G5" s="1"/>
    </row>
    <row r="6" spans="1:7" ht="15" customHeight="1" x14ac:dyDescent="0.25">
      <c r="A6" s="1"/>
      <c r="B6" s="70"/>
      <c r="C6" s="70"/>
      <c r="D6" s="70"/>
      <c r="E6" s="70"/>
      <c r="F6" s="70"/>
      <c r="G6" s="1"/>
    </row>
    <row r="7" spans="1:7" ht="15" customHeight="1" x14ac:dyDescent="0.25">
      <c r="A7" s="1"/>
      <c r="B7" s="1"/>
      <c r="C7" s="1"/>
      <c r="D7" s="1"/>
      <c r="E7" s="1"/>
      <c r="F7" s="1"/>
      <c r="G7" s="1"/>
    </row>
    <row r="8" spans="1:7" ht="15" customHeight="1" x14ac:dyDescent="0.25">
      <c r="A8" s="1"/>
      <c r="B8" s="114" t="s">
        <v>137</v>
      </c>
      <c r="C8" s="115"/>
      <c r="D8" s="115"/>
      <c r="E8" s="115"/>
      <c r="F8" s="116"/>
      <c r="G8" s="1"/>
    </row>
    <row r="9" spans="1:7" ht="15" customHeight="1" x14ac:dyDescent="0.25">
      <c r="A9" s="1"/>
      <c r="B9" s="117" t="s">
        <v>282</v>
      </c>
      <c r="C9" s="118"/>
      <c r="D9" s="119"/>
      <c r="E9" s="9">
        <v>-180033</v>
      </c>
      <c r="F9" s="14" t="s">
        <v>3</v>
      </c>
      <c r="G9" s="1"/>
    </row>
    <row r="10" spans="1:7" ht="15" customHeight="1" x14ac:dyDescent="0.25">
      <c r="A10" s="1"/>
      <c r="B10" s="117" t="s">
        <v>143</v>
      </c>
      <c r="C10" s="118"/>
      <c r="D10" s="119"/>
      <c r="E10" s="9">
        <v>-3687992</v>
      </c>
      <c r="F10" s="14" t="s">
        <v>3</v>
      </c>
      <c r="G10" s="1"/>
    </row>
    <row r="11" spans="1:7" ht="15" customHeight="1" x14ac:dyDescent="0.25">
      <c r="A11" s="1"/>
      <c r="B11" s="117" t="s">
        <v>283</v>
      </c>
      <c r="C11" s="118"/>
      <c r="D11" s="119"/>
      <c r="E11" s="9">
        <v>-2287784</v>
      </c>
      <c r="F11" s="14" t="s">
        <v>3</v>
      </c>
      <c r="G11" s="1"/>
    </row>
    <row r="12" spans="1:7" x14ac:dyDescent="0.25">
      <c r="A12" s="1"/>
      <c r="B12" s="33"/>
      <c r="C12" s="28"/>
      <c r="D12" s="28"/>
      <c r="E12" s="28"/>
      <c r="F12" s="19"/>
      <c r="G12" s="1"/>
    </row>
    <row r="13" spans="1:7" ht="42" customHeight="1" x14ac:dyDescent="0.25">
      <c r="A13" s="1"/>
      <c r="B13" s="111" t="s">
        <v>284</v>
      </c>
      <c r="C13" s="112"/>
      <c r="D13" s="112"/>
      <c r="E13" s="112"/>
      <c r="F13" s="113"/>
      <c r="G13" s="1"/>
    </row>
    <row r="14" spans="1:7" ht="15" customHeight="1" x14ac:dyDescent="0.25">
      <c r="A14" s="1"/>
      <c r="B14" s="1"/>
      <c r="C14" s="1"/>
      <c r="D14" s="1"/>
      <c r="E14" s="1"/>
      <c r="F14" s="1"/>
      <c r="G14" s="1"/>
    </row>
    <row r="15" spans="1:7" x14ac:dyDescent="0.25">
      <c r="A15" s="1"/>
      <c r="B15" s="71" t="s">
        <v>285</v>
      </c>
      <c r="C15" s="72"/>
      <c r="D15" s="72"/>
      <c r="E15" s="72"/>
      <c r="F15" s="73"/>
      <c r="G15" s="1"/>
    </row>
    <row r="16" spans="1:7" x14ac:dyDescent="0.25">
      <c r="A16" s="1"/>
      <c r="B16" s="74" t="s">
        <v>286</v>
      </c>
      <c r="C16" s="75"/>
      <c r="D16" s="76"/>
      <c r="E16" s="9">
        <f>IF(E11&lt;0,E11,0)</f>
        <v>-2287784</v>
      </c>
      <c r="F16" s="14" t="s">
        <v>3</v>
      </c>
      <c r="G16" s="1"/>
    </row>
    <row r="17" spans="1:7" x14ac:dyDescent="0.25">
      <c r="A17" s="1"/>
      <c r="B17" s="74" t="s">
        <v>287</v>
      </c>
      <c r="C17" s="75"/>
      <c r="D17" s="76"/>
      <c r="E17" s="9">
        <f>IF(SUM(E10)&gt;0,SUM(E10),0)</f>
        <v>0</v>
      </c>
      <c r="F17" s="14" t="s">
        <v>3</v>
      </c>
      <c r="G17" s="1"/>
    </row>
    <row r="18" spans="1:7" x14ac:dyDescent="0.25">
      <c r="A18" s="1"/>
      <c r="B18" s="78" t="s">
        <v>288</v>
      </c>
      <c r="C18" s="79"/>
      <c r="D18" s="80"/>
      <c r="E18" s="62">
        <f>IF(SUM(E16:E17)&gt;0,0,SUM(E16:E17))</f>
        <v>-2287784</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1" t="s">
        <v>289</v>
      </c>
      <c r="C21" s="72"/>
      <c r="D21" s="72"/>
      <c r="E21" s="72"/>
      <c r="F21" s="73"/>
      <c r="G21" s="1"/>
    </row>
    <row r="22" spans="1:7" x14ac:dyDescent="0.25">
      <c r="A22" s="1"/>
      <c r="B22" s="74" t="s">
        <v>290</v>
      </c>
      <c r="C22" s="75"/>
      <c r="D22" s="76"/>
      <c r="E22" s="9">
        <v>70386942</v>
      </c>
      <c r="F22" s="14" t="s">
        <v>3</v>
      </c>
      <c r="G22" s="1"/>
    </row>
    <row r="23" spans="1:7" x14ac:dyDescent="0.25">
      <c r="A23" s="1"/>
      <c r="B23" s="74" t="s">
        <v>291</v>
      </c>
      <c r="C23" s="75"/>
      <c r="D23" s="76"/>
      <c r="E23" s="9">
        <v>72490181</v>
      </c>
      <c r="F23" s="14" t="s">
        <v>3</v>
      </c>
      <c r="G23" s="1"/>
    </row>
    <row r="24" spans="1:7" x14ac:dyDescent="0.25">
      <c r="A24" s="1"/>
      <c r="B24" s="74" t="s">
        <v>30</v>
      </c>
      <c r="C24" s="75"/>
      <c r="D24" s="76"/>
      <c r="E24" s="9">
        <v>0</v>
      </c>
      <c r="F24" s="14" t="s">
        <v>3</v>
      </c>
      <c r="G24" s="1"/>
    </row>
    <row r="25" spans="1:7" x14ac:dyDescent="0.25">
      <c r="A25" s="1"/>
      <c r="B25" s="78" t="s">
        <v>292</v>
      </c>
      <c r="C25" s="79"/>
      <c r="D25" s="80"/>
      <c r="E25" s="62">
        <f>E22-E23-E24</f>
        <v>-2103239</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14" t="s">
        <v>293</v>
      </c>
      <c r="C28" s="115"/>
      <c r="D28" s="115"/>
      <c r="E28" s="115"/>
      <c r="F28" s="116"/>
      <c r="G28" s="1"/>
    </row>
    <row r="29" spans="1:7" x14ac:dyDescent="0.25">
      <c r="A29" s="1"/>
      <c r="B29" s="129" t="s">
        <v>116</v>
      </c>
      <c r="C29" s="130"/>
      <c r="D29" s="131"/>
      <c r="E29" s="9">
        <f>IF(E18&lt;0,IF(E25&lt;0,SUM(E18,E25),IF(E10&gt;0,SUM(E10:E11),E18)),IF(AND(E25&lt;0,SUM(E25,E11)&lt;0),IF(E11&lt;0,E25,IF(SUM(E10:E11)&gt;0,SUM(E25,E11),IF(AND(E25&lt;0,E18=0,E11&gt;0),IF(SUM(E9:E11)&gt;0,E25+E11,E25)))),0))</f>
        <v>-4391023</v>
      </c>
      <c r="F29" s="14" t="s">
        <v>3</v>
      </c>
      <c r="G29" s="1"/>
    </row>
    <row r="30" spans="1:7" x14ac:dyDescent="0.25">
      <c r="A30" s="1"/>
      <c r="B30" s="129" t="s">
        <v>84</v>
      </c>
      <c r="C30" s="130"/>
      <c r="D30" s="131"/>
      <c r="E30" s="9">
        <v>2</v>
      </c>
      <c r="F30" s="14" t="s">
        <v>20</v>
      </c>
      <c r="G30" s="1"/>
    </row>
    <row r="31" spans="1:7" x14ac:dyDescent="0.25">
      <c r="A31" s="1"/>
      <c r="B31" s="132" t="s">
        <v>117</v>
      </c>
      <c r="C31" s="133"/>
      <c r="D31" s="134"/>
      <c r="E31" s="10">
        <f>E29/E30</f>
        <v>-2195511.5</v>
      </c>
      <c r="F31" s="17" t="s">
        <v>3</v>
      </c>
      <c r="G31" s="1"/>
    </row>
    <row r="32" spans="1:7" x14ac:dyDescent="0.25">
      <c r="A32" s="1"/>
      <c r="B32" s="135"/>
      <c r="C32" s="136"/>
      <c r="D32" s="136"/>
      <c r="E32" s="136"/>
      <c r="F32" s="137"/>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ExaFcOxmMjoi3FyNpBAYG6LdPwb+5gETvBvoCMuPaMOR8X7sYwr2gos8F7ewoCv2ri5DSMI5f3v4yO++4qs7zA==" saltValue="MajpITEBQx70JHDlHBTRLQ==" spinCount="100000" sheet="1" objects="1" scenarios="1"/>
  <mergeCells count="11">
    <mergeCell ref="B28:F28"/>
    <mergeCell ref="B29:D29"/>
    <mergeCell ref="B30:D30"/>
    <mergeCell ref="B31:D31"/>
    <mergeCell ref="B32:F32"/>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7" t="s">
        <v>170</v>
      </c>
      <c r="C3" s="107"/>
      <c r="D3" s="107"/>
      <c r="E3" s="107"/>
      <c r="F3" s="107"/>
      <c r="G3" s="107"/>
      <c r="H3" s="107"/>
      <c r="I3" s="1"/>
    </row>
    <row r="4" spans="1:9" ht="15" customHeight="1" x14ac:dyDescent="0.25">
      <c r="A4" s="1"/>
      <c r="B4" s="107"/>
      <c r="C4" s="107"/>
      <c r="D4" s="107"/>
      <c r="E4" s="107"/>
      <c r="F4" s="107"/>
      <c r="G4" s="107"/>
      <c r="H4" s="10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4" t="s">
        <v>189</v>
      </c>
      <c r="C8" s="115"/>
      <c r="D8" s="115"/>
      <c r="E8" s="115"/>
      <c r="F8" s="115"/>
      <c r="G8" s="115"/>
      <c r="H8" s="116"/>
      <c r="I8" s="1"/>
    </row>
    <row r="9" spans="1:9" ht="15" customHeight="1" x14ac:dyDescent="0.25">
      <c r="A9" s="1"/>
      <c r="B9" s="141" t="s">
        <v>171</v>
      </c>
      <c r="C9" s="142"/>
      <c r="D9" s="142"/>
      <c r="E9" s="142"/>
      <c r="F9" s="142"/>
      <c r="G9" s="142"/>
      <c r="H9" s="143"/>
      <c r="I9" s="1"/>
    </row>
    <row r="10" spans="1:9" x14ac:dyDescent="0.25">
      <c r="A10" s="1"/>
      <c r="B10" s="138" t="s">
        <v>172</v>
      </c>
      <c r="C10" s="139"/>
      <c r="D10" s="139"/>
      <c r="E10" s="139"/>
      <c r="F10" s="140"/>
      <c r="G10" s="9">
        <v>0</v>
      </c>
      <c r="H10" s="9" t="s">
        <v>3</v>
      </c>
      <c r="I10" s="1"/>
    </row>
    <row r="11" spans="1:9" x14ac:dyDescent="0.25">
      <c r="A11" s="1"/>
      <c r="B11" s="138" t="s">
        <v>173</v>
      </c>
      <c r="C11" s="139"/>
      <c r="D11" s="139"/>
      <c r="E11" s="139"/>
      <c r="F11" s="140"/>
      <c r="G11" s="9">
        <v>0</v>
      </c>
      <c r="H11" s="9" t="s">
        <v>3</v>
      </c>
      <c r="I11" s="1"/>
    </row>
    <row r="12" spans="1:9" x14ac:dyDescent="0.25">
      <c r="A12" s="1"/>
      <c r="B12" s="138" t="s">
        <v>174</v>
      </c>
      <c r="C12" s="139"/>
      <c r="D12" s="139"/>
      <c r="E12" s="139"/>
      <c r="F12" s="140"/>
      <c r="G12" s="9">
        <v>0</v>
      </c>
      <c r="H12" s="9" t="s">
        <v>3</v>
      </c>
      <c r="I12" s="1"/>
    </row>
    <row r="13" spans="1:9" x14ac:dyDescent="0.25">
      <c r="A13" s="1"/>
      <c r="B13" s="138" t="s">
        <v>175</v>
      </c>
      <c r="C13" s="139"/>
      <c r="D13" s="139"/>
      <c r="E13" s="139"/>
      <c r="F13" s="140"/>
      <c r="G13" s="9">
        <v>0</v>
      </c>
      <c r="H13" s="9" t="s">
        <v>3</v>
      </c>
      <c r="I13" s="1"/>
    </row>
    <row r="14" spans="1:9" x14ac:dyDescent="0.25">
      <c r="A14" s="1"/>
      <c r="B14" s="138" t="s">
        <v>176</v>
      </c>
      <c r="C14" s="139"/>
      <c r="D14" s="139"/>
      <c r="E14" s="139"/>
      <c r="F14" s="140"/>
      <c r="G14" s="9">
        <v>0</v>
      </c>
      <c r="H14" s="9" t="s">
        <v>3</v>
      </c>
      <c r="I14" s="1"/>
    </row>
    <row r="15" spans="1:9" x14ac:dyDescent="0.25">
      <c r="A15" s="1"/>
      <c r="B15" s="138" t="s">
        <v>177</v>
      </c>
      <c r="C15" s="139"/>
      <c r="D15" s="139"/>
      <c r="E15" s="139"/>
      <c r="F15" s="140"/>
      <c r="G15" s="9">
        <v>0</v>
      </c>
      <c r="H15" s="9" t="s">
        <v>3</v>
      </c>
      <c r="I15" s="1"/>
    </row>
    <row r="16" spans="1:9" x14ac:dyDescent="0.25">
      <c r="A16" s="1"/>
      <c r="B16" s="138" t="s">
        <v>178</v>
      </c>
      <c r="C16" s="139"/>
      <c r="D16" s="139"/>
      <c r="E16" s="139"/>
      <c r="F16" s="140"/>
      <c r="G16" s="9">
        <v>0</v>
      </c>
      <c r="H16" s="9" t="s">
        <v>3</v>
      </c>
      <c r="I16" s="1"/>
    </row>
    <row r="17" spans="1:9" x14ac:dyDescent="0.25">
      <c r="A17" s="1"/>
      <c r="B17" s="138" t="s">
        <v>179</v>
      </c>
      <c r="C17" s="139"/>
      <c r="D17" s="139"/>
      <c r="E17" s="139"/>
      <c r="F17" s="140"/>
      <c r="G17" s="9">
        <v>0</v>
      </c>
      <c r="H17" s="9" t="s">
        <v>3</v>
      </c>
      <c r="I17" s="1"/>
    </row>
    <row r="18" spans="1:9" x14ac:dyDescent="0.25">
      <c r="A18" s="1"/>
      <c r="B18" s="114" t="s">
        <v>180</v>
      </c>
      <c r="C18" s="115"/>
      <c r="D18" s="115"/>
      <c r="E18" s="115"/>
      <c r="F18" s="11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JplCf74vEvrwW3Vak0jUaxZddwuJaCqkUxCiX3q3zDEImOABIz2hIKvgH3TI018lZj2YaDFqCPxMianlfpzDoA==" saltValue="hSt+/i8QN3bWTtz0BhigxA=="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0" t="s">
        <v>207</v>
      </c>
      <c r="C3" s="110"/>
      <c r="D3" s="110"/>
      <c r="E3" s="110"/>
      <c r="F3" s="110"/>
      <c r="G3" s="1"/>
    </row>
    <row r="4" spans="1:7" ht="1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228</v>
      </c>
      <c r="C9" s="115"/>
      <c r="D9" s="115"/>
      <c r="E9" s="115"/>
      <c r="F9" s="116"/>
      <c r="G9" s="1"/>
    </row>
    <row r="10" spans="1:7" x14ac:dyDescent="0.25">
      <c r="A10" s="1"/>
      <c r="B10" s="111" t="s">
        <v>82</v>
      </c>
      <c r="C10" s="112"/>
      <c r="D10" s="113"/>
      <c r="E10" s="7">
        <v>0</v>
      </c>
      <c r="F10" s="8" t="s">
        <v>3</v>
      </c>
      <c r="G10" s="1"/>
    </row>
    <row r="11" spans="1:7" x14ac:dyDescent="0.25">
      <c r="A11" s="1"/>
      <c r="B11" s="117" t="s">
        <v>229</v>
      </c>
      <c r="C11" s="118"/>
      <c r="D11" s="119"/>
      <c r="E11" s="7">
        <v>0</v>
      </c>
      <c r="F11" s="8" t="s">
        <v>3</v>
      </c>
      <c r="G11" s="1"/>
    </row>
    <row r="12" spans="1:7" x14ac:dyDescent="0.25">
      <c r="A12" s="1"/>
      <c r="B12" s="132" t="s">
        <v>83</v>
      </c>
      <c r="C12" s="133"/>
      <c r="D12" s="134"/>
      <c r="E12" s="10">
        <f>E11-E10</f>
        <v>0</v>
      </c>
      <c r="F12" s="11" t="s">
        <v>3</v>
      </c>
      <c r="G12" s="1"/>
    </row>
    <row r="13" spans="1:7" x14ac:dyDescent="0.25">
      <c r="A13" s="1"/>
      <c r="B13" s="114" t="s">
        <v>78</v>
      </c>
      <c r="C13" s="115"/>
      <c r="D13" s="115"/>
      <c r="E13" s="115"/>
      <c r="F13" s="116"/>
      <c r="G13" s="1"/>
    </row>
    <row r="14" spans="1:7" x14ac:dyDescent="0.25">
      <c r="A14" s="1"/>
      <c r="B14" s="117" t="s">
        <v>230</v>
      </c>
      <c r="C14" s="118"/>
      <c r="D14" s="119"/>
      <c r="E14" s="7">
        <v>0</v>
      </c>
      <c r="F14" s="8" t="s">
        <v>3</v>
      </c>
      <c r="G14" s="1"/>
    </row>
    <row r="15" spans="1:7" x14ac:dyDescent="0.25">
      <c r="A15" s="1"/>
      <c r="B15" s="111" t="s">
        <v>231</v>
      </c>
      <c r="C15" s="112"/>
      <c r="D15" s="113"/>
      <c r="E15" s="7">
        <v>0</v>
      </c>
      <c r="F15" s="8" t="s">
        <v>3</v>
      </c>
      <c r="G15" s="1"/>
    </row>
    <row r="16" spans="1:7" x14ac:dyDescent="0.25">
      <c r="A16" s="1"/>
      <c r="B16" s="132" t="s">
        <v>83</v>
      </c>
      <c r="C16" s="133"/>
      <c r="D16" s="134"/>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oHDGS0Wp7uQVn0GOWpM13IR/sk0aseqZAZbDrh55o4fUMYkbsik7u940xM1F9i1IZp6oQvS2HSxe5Med5poxuQ==" saltValue="85rTgQFzFxnrBhK0Kfsrp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7" t="s">
        <v>182</v>
      </c>
      <c r="C3" s="107"/>
      <c r="D3" s="107"/>
      <c r="E3" s="107"/>
      <c r="F3" s="107"/>
      <c r="G3" s="107"/>
      <c r="H3" s="107"/>
      <c r="I3" s="107"/>
      <c r="J3" s="107"/>
      <c r="K3" s="107"/>
      <c r="L3" s="1"/>
    </row>
    <row r="4" spans="1:12" ht="15" customHeight="1" x14ac:dyDescent="0.25">
      <c r="A4" s="1"/>
      <c r="B4" s="107"/>
      <c r="C4" s="107"/>
      <c r="D4" s="107"/>
      <c r="E4" s="107"/>
      <c r="F4" s="107"/>
      <c r="G4" s="107"/>
      <c r="H4" s="107"/>
      <c r="I4" s="107"/>
      <c r="J4" s="107"/>
      <c r="K4" s="10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4" t="s">
        <v>149</v>
      </c>
      <c r="C8" s="115"/>
      <c r="D8" s="115"/>
      <c r="E8" s="115"/>
      <c r="F8" s="115"/>
      <c r="G8" s="115"/>
      <c r="H8" s="115"/>
      <c r="I8" s="115"/>
      <c r="J8" s="115"/>
      <c r="K8" s="116"/>
      <c r="L8" s="1"/>
    </row>
    <row r="9" spans="1:12" ht="39.75" customHeight="1" x14ac:dyDescent="0.25">
      <c r="A9" s="1"/>
      <c r="B9" s="18" t="s">
        <v>0</v>
      </c>
      <c r="C9" s="18" t="s">
        <v>1</v>
      </c>
      <c r="D9" s="144" t="s">
        <v>165</v>
      </c>
      <c r="E9" s="145"/>
      <c r="F9" s="144" t="s">
        <v>2</v>
      </c>
      <c r="G9" s="145"/>
      <c r="H9" s="144" t="s">
        <v>164</v>
      </c>
      <c r="I9" s="145"/>
      <c r="J9" s="144" t="s">
        <v>27</v>
      </c>
      <c r="K9" s="145"/>
      <c r="L9" s="1"/>
    </row>
    <row r="10" spans="1:12" x14ac:dyDescent="0.25">
      <c r="A10" s="1"/>
      <c r="B10" s="81" t="s">
        <v>266</v>
      </c>
      <c r="C10" s="45">
        <v>0</v>
      </c>
      <c r="D10" s="9">
        <v>0</v>
      </c>
      <c r="E10" s="14" t="s">
        <v>3</v>
      </c>
      <c r="F10" s="9">
        <f>IFERROR(D10/C10,0)</f>
        <v>0</v>
      </c>
      <c r="G10" s="14" t="s">
        <v>3</v>
      </c>
      <c r="H10" s="41">
        <v>0</v>
      </c>
      <c r="I10" s="14" t="s">
        <v>3</v>
      </c>
      <c r="J10" s="41">
        <v>0</v>
      </c>
      <c r="K10" s="14" t="s">
        <v>3</v>
      </c>
      <c r="L10" s="1"/>
    </row>
    <row r="11" spans="1:12" x14ac:dyDescent="0.25">
      <c r="A11" s="1"/>
      <c r="B11" s="71" t="s">
        <v>150</v>
      </c>
      <c r="C11" s="72"/>
      <c r="D11" s="73"/>
      <c r="E11" s="73"/>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woI/AoHYwop9m4QqlD8pOuD2AfKHbFSuiv9T8CsY62aJIi78QDIOG9QKqmYyEuySlmcJ14vbAoJmhrvmOeQM2g==" saltValue="4vNRoXL0L7zm5tNonrr0gw=="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183</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82" t="s">
        <v>17</v>
      </c>
      <c r="C9" s="82" t="s">
        <v>11</v>
      </c>
      <c r="D9" s="83"/>
      <c r="E9" s="82"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272</v>
      </c>
      <c r="C11" s="21">
        <v>0</v>
      </c>
      <c r="D11" s="14" t="s">
        <v>3</v>
      </c>
      <c r="E11" s="9">
        <v>125926</v>
      </c>
      <c r="F11" s="14" t="s">
        <v>3</v>
      </c>
      <c r="G11" s="1"/>
    </row>
    <row r="12" spans="1:7" x14ac:dyDescent="0.25">
      <c r="A12" s="1"/>
      <c r="B12" s="24" t="s">
        <v>273</v>
      </c>
      <c r="C12" s="21">
        <v>0</v>
      </c>
      <c r="D12" s="14" t="s">
        <v>3</v>
      </c>
      <c r="E12" s="9">
        <v>90621</v>
      </c>
      <c r="F12" s="14" t="s">
        <v>3</v>
      </c>
      <c r="G12" s="1"/>
    </row>
    <row r="13" spans="1:7" x14ac:dyDescent="0.25">
      <c r="A13" s="1"/>
      <c r="B13" s="24" t="s">
        <v>274</v>
      </c>
      <c r="C13" s="21">
        <v>0</v>
      </c>
      <c r="D13" s="14" t="s">
        <v>3</v>
      </c>
      <c r="E13" s="9">
        <v>22947</v>
      </c>
      <c r="F13" s="14" t="s">
        <v>3</v>
      </c>
      <c r="G13" s="1"/>
    </row>
    <row r="14" spans="1:7" x14ac:dyDescent="0.25">
      <c r="A14" s="1"/>
      <c r="B14" s="24" t="s">
        <v>275</v>
      </c>
      <c r="C14" s="21">
        <v>0</v>
      </c>
      <c r="D14" s="14" t="s">
        <v>3</v>
      </c>
      <c r="E14" s="9">
        <v>654570</v>
      </c>
      <c r="F14" s="14" t="s">
        <v>3</v>
      </c>
      <c r="G14" s="1"/>
    </row>
    <row r="15" spans="1:7" x14ac:dyDescent="0.25">
      <c r="A15" s="1"/>
      <c r="B15" s="24" t="s">
        <v>276</v>
      </c>
      <c r="C15" s="21">
        <v>760695</v>
      </c>
      <c r="D15" s="14" t="s">
        <v>3</v>
      </c>
      <c r="E15" s="9">
        <v>470203</v>
      </c>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760695</v>
      </c>
      <c r="D19" s="13" t="s">
        <v>3</v>
      </c>
      <c r="E19" s="12">
        <f>SUM(E10:E18)</f>
        <v>1364267</v>
      </c>
      <c r="F19" s="13" t="s">
        <v>3</v>
      </c>
      <c r="G19" s="1"/>
    </row>
    <row r="20" spans="1:7" x14ac:dyDescent="0.25">
      <c r="A20" s="1"/>
      <c r="B20" s="33" t="s">
        <v>233</v>
      </c>
      <c r="C20" s="12">
        <f>C19*(1+'Fane 15. Nøgletal'!C16)</f>
        <v>822159.15599999996</v>
      </c>
      <c r="D20" s="13" t="s">
        <v>3</v>
      </c>
      <c r="E20" s="12">
        <f>E19*(1+'Fane 15. Nøgletal'!C16)</f>
        <v>1474499.7736</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ivUDo2R66HpaULYCChyEa50q5sedoh2lCVuLYUgvSVWXxcr3ajaQrnByH9io6Y625hTW+3Lv2fejlO4qBHuPg==" saltValue="xYATdqvynSCnNdha0z15Iw=="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7" t="s">
        <v>184</v>
      </c>
      <c r="C3" s="107"/>
      <c r="D3" s="107"/>
      <c r="E3" s="107"/>
      <c r="F3" s="107"/>
      <c r="G3" s="1"/>
    </row>
    <row r="4" spans="1:7" ht="15" customHeight="1" x14ac:dyDescent="0.25">
      <c r="A4" s="1"/>
      <c r="B4" s="107"/>
      <c r="C4" s="107"/>
      <c r="D4" s="107"/>
      <c r="E4" s="107"/>
      <c r="F4" s="10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261</v>
      </c>
      <c r="C8" s="115"/>
      <c r="D8" s="115"/>
      <c r="E8" s="115"/>
      <c r="F8" s="116"/>
      <c r="G8" s="1"/>
    </row>
    <row r="9" spans="1:7" x14ac:dyDescent="0.25">
      <c r="A9" s="1"/>
      <c r="B9" s="82" t="s">
        <v>17</v>
      </c>
      <c r="C9" s="82" t="s">
        <v>11</v>
      </c>
      <c r="D9" s="83"/>
      <c r="E9" s="82" t="s">
        <v>28</v>
      </c>
      <c r="F9" s="32"/>
      <c r="G9" s="1"/>
    </row>
    <row r="10" spans="1:7" x14ac:dyDescent="0.25">
      <c r="A10" s="1"/>
      <c r="B10" s="24" t="s">
        <v>277</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46"/>
      <c r="C16" s="146"/>
      <c r="D16" s="146"/>
      <c r="E16" s="146"/>
      <c r="F16" s="146"/>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46"/>
      <c r="C23" s="146"/>
      <c r="D23" s="146"/>
      <c r="E23" s="146"/>
      <c r="F23" s="146"/>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46"/>
      <c r="C30" s="146"/>
      <c r="D30" s="146"/>
      <c r="E30" s="146"/>
      <c r="F30" s="146"/>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alNz2D3Fjq/LinkPp9I4Ud1R1csxmjfjNj+FC6w8Efx6ro3HvZRpuCMydaRfNer3Q2uLDjb8Eqx9BYv3lgM64Q==" saltValue="R2GbRSZhL2WvOJNYxsxTRg=="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185</v>
      </c>
      <c r="C3" s="110"/>
      <c r="D3" s="110"/>
      <c r="E3" s="110"/>
      <c r="F3" s="110"/>
      <c r="G3" s="1"/>
    </row>
    <row r="4" spans="1:7" ht="15" customHeight="1" x14ac:dyDescent="0.25">
      <c r="A4" s="1"/>
      <c r="B4" s="110"/>
      <c r="C4" s="110"/>
      <c r="D4" s="110"/>
      <c r="E4" s="110"/>
      <c r="F4" s="110"/>
      <c r="G4" s="1"/>
    </row>
    <row r="5" spans="1:7" x14ac:dyDescent="0.25">
      <c r="A5" s="1"/>
      <c r="B5" s="110"/>
      <c r="C5" s="110"/>
      <c r="D5" s="110"/>
      <c r="E5" s="110"/>
      <c r="F5" s="110"/>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14" t="s">
        <v>110</v>
      </c>
      <c r="C9" s="115"/>
      <c r="D9" s="115"/>
      <c r="E9" s="115"/>
      <c r="F9" s="116"/>
      <c r="G9" s="1"/>
    </row>
    <row r="10" spans="1:7" x14ac:dyDescent="0.25">
      <c r="A10" s="1"/>
      <c r="B10" s="138" t="s">
        <v>236</v>
      </c>
      <c r="C10" s="139"/>
      <c r="D10" s="140"/>
      <c r="E10" s="9">
        <v>0</v>
      </c>
      <c r="F10" s="14" t="s">
        <v>3</v>
      </c>
      <c r="G10" s="1"/>
    </row>
    <row r="11" spans="1:7" x14ac:dyDescent="0.25">
      <c r="A11" s="1"/>
      <c r="B11" s="147" t="s">
        <v>10</v>
      </c>
      <c r="C11" s="148"/>
      <c r="D11" s="149"/>
      <c r="E11" s="9">
        <f>-E10*'Fane 5. Individuelt eff. krav'!G9</f>
        <v>0</v>
      </c>
      <c r="F11" s="14" t="s">
        <v>3</v>
      </c>
      <c r="G11" s="1"/>
    </row>
    <row r="12" spans="1:7" x14ac:dyDescent="0.25">
      <c r="A12" s="1"/>
      <c r="B12" s="147" t="s">
        <v>23</v>
      </c>
      <c r="C12" s="148"/>
      <c r="D12" s="149"/>
      <c r="E12" s="9">
        <f>-E10*'Fane 15. Nøgletal'!C33</f>
        <v>0</v>
      </c>
      <c r="F12" s="14" t="s">
        <v>3</v>
      </c>
      <c r="G12" s="1"/>
    </row>
    <row r="13" spans="1:7" x14ac:dyDescent="0.25">
      <c r="A13" s="1"/>
      <c r="B13" s="114" t="s">
        <v>111</v>
      </c>
      <c r="C13" s="115"/>
      <c r="D13" s="116"/>
      <c r="E13" s="12">
        <f>SUM(E10:E12)*(1+'Fane 15. Nøgletal'!C16)^2</f>
        <v>0</v>
      </c>
      <c r="F13" s="13" t="s">
        <v>3</v>
      </c>
      <c r="G13" s="1"/>
    </row>
    <row r="14" spans="1:7" x14ac:dyDescent="0.25">
      <c r="A14" s="1"/>
      <c r="B14" s="1"/>
      <c r="C14" s="1"/>
      <c r="D14" s="1"/>
      <c r="E14" s="1"/>
      <c r="F14" s="1"/>
      <c r="G14" s="1"/>
    </row>
    <row r="15" spans="1:7" ht="15" customHeight="1" x14ac:dyDescent="0.25">
      <c r="A15" s="1"/>
      <c r="B15" s="114" t="s">
        <v>124</v>
      </c>
      <c r="C15" s="115"/>
      <c r="D15" s="115"/>
      <c r="E15" s="115"/>
      <c r="F15" s="116"/>
      <c r="G15" s="1"/>
    </row>
    <row r="16" spans="1:7" x14ac:dyDescent="0.25">
      <c r="A16" s="1"/>
      <c r="B16" s="138" t="s">
        <v>236</v>
      </c>
      <c r="C16" s="139"/>
      <c r="D16" s="140"/>
      <c r="E16" s="9">
        <v>0</v>
      </c>
      <c r="F16" s="14" t="s">
        <v>3</v>
      </c>
      <c r="G16" s="1"/>
    </row>
    <row r="17" spans="1:7" x14ac:dyDescent="0.25">
      <c r="A17" s="1"/>
      <c r="B17" s="147" t="s">
        <v>10</v>
      </c>
      <c r="C17" s="148"/>
      <c r="D17" s="149"/>
      <c r="E17" s="9">
        <f>-E16*'Fane 5. Individuelt eff. krav'!G9</f>
        <v>0</v>
      </c>
      <c r="F17" s="14" t="s">
        <v>3</v>
      </c>
      <c r="G17" s="1"/>
    </row>
    <row r="18" spans="1:7" x14ac:dyDescent="0.25">
      <c r="A18" s="1"/>
      <c r="B18" s="147" t="s">
        <v>23</v>
      </c>
      <c r="C18" s="148"/>
      <c r="D18" s="149"/>
      <c r="E18" s="9">
        <f>-E16*'Fane 15. Nøgletal'!C33</f>
        <v>0</v>
      </c>
      <c r="F18" s="14" t="s">
        <v>3</v>
      </c>
      <c r="G18" s="1"/>
    </row>
    <row r="19" spans="1:7" x14ac:dyDescent="0.25">
      <c r="A19" s="1"/>
      <c r="B19" s="114" t="s">
        <v>125</v>
      </c>
      <c r="C19" s="115"/>
      <c r="D19" s="116"/>
      <c r="E19" s="12">
        <f>SUM(E16:E18)*(1+'Fane 15. Nøgletal'!C16)^3</f>
        <v>0</v>
      </c>
      <c r="F19" s="13" t="s">
        <v>3</v>
      </c>
      <c r="G19" s="1"/>
    </row>
    <row r="20" spans="1:7" x14ac:dyDescent="0.25">
      <c r="A20" s="1"/>
      <c r="B20" s="1"/>
      <c r="C20" s="1"/>
      <c r="D20" s="1"/>
      <c r="E20" s="1"/>
      <c r="F20" s="1"/>
      <c r="G20" s="1"/>
    </row>
    <row r="21" spans="1:7" ht="15" customHeight="1" x14ac:dyDescent="0.25">
      <c r="A21" s="1"/>
      <c r="B21" s="114" t="s">
        <v>145</v>
      </c>
      <c r="C21" s="115"/>
      <c r="D21" s="115"/>
      <c r="E21" s="115"/>
      <c r="F21" s="116"/>
      <c r="G21" s="1"/>
    </row>
    <row r="22" spans="1:7" x14ac:dyDescent="0.25">
      <c r="A22" s="1"/>
      <c r="B22" s="138" t="s">
        <v>236</v>
      </c>
      <c r="C22" s="139"/>
      <c r="D22" s="140"/>
      <c r="E22" s="9">
        <v>0</v>
      </c>
      <c r="F22" s="14" t="s">
        <v>3</v>
      </c>
      <c r="G22" s="1"/>
    </row>
    <row r="23" spans="1:7" x14ac:dyDescent="0.25">
      <c r="A23" s="1"/>
      <c r="B23" s="147" t="s">
        <v>10</v>
      </c>
      <c r="C23" s="148"/>
      <c r="D23" s="149"/>
      <c r="E23" s="9">
        <f>-E22*'Fane 5. Individuelt eff. krav'!G9</f>
        <v>0</v>
      </c>
      <c r="F23" s="14" t="s">
        <v>3</v>
      </c>
      <c r="G23" s="1"/>
    </row>
    <row r="24" spans="1:7" x14ac:dyDescent="0.25">
      <c r="A24" s="1"/>
      <c r="B24" s="147" t="s">
        <v>23</v>
      </c>
      <c r="C24" s="148"/>
      <c r="D24" s="149"/>
      <c r="E24" s="9">
        <f>-E22*'Fane 15. Nøgletal'!C33</f>
        <v>0</v>
      </c>
      <c r="F24" s="14" t="s">
        <v>3</v>
      </c>
      <c r="G24" s="1"/>
    </row>
    <row r="25" spans="1:7" x14ac:dyDescent="0.25">
      <c r="A25" s="1"/>
      <c r="B25" s="114" t="s">
        <v>146</v>
      </c>
      <c r="C25" s="115"/>
      <c r="D25" s="116"/>
      <c r="E25" s="12">
        <f>SUM(E22:E24)*(1+'Fane 15. Nøgletal'!C16)^4</f>
        <v>0</v>
      </c>
      <c r="F25" s="13" t="s">
        <v>3</v>
      </c>
      <c r="G25" s="1"/>
    </row>
    <row r="26" spans="1:7" x14ac:dyDescent="0.25">
      <c r="A26" s="1"/>
      <c r="B26" s="1"/>
      <c r="C26" s="1"/>
      <c r="D26" s="1"/>
      <c r="E26" s="1"/>
      <c r="F26" s="1"/>
      <c r="G26" s="1"/>
    </row>
    <row r="27" spans="1:7" ht="15" customHeight="1" x14ac:dyDescent="0.25">
      <c r="A27" s="1"/>
      <c r="B27" s="114" t="s">
        <v>237</v>
      </c>
      <c r="C27" s="115"/>
      <c r="D27" s="115"/>
      <c r="E27" s="115"/>
      <c r="F27" s="116"/>
      <c r="G27" s="1"/>
    </row>
    <row r="28" spans="1:7" ht="14.25" customHeight="1" x14ac:dyDescent="0.25">
      <c r="A28" s="1"/>
      <c r="B28" s="138" t="s">
        <v>236</v>
      </c>
      <c r="C28" s="139"/>
      <c r="D28" s="140"/>
      <c r="E28" s="9">
        <v>0</v>
      </c>
      <c r="F28" s="14" t="s">
        <v>3</v>
      </c>
      <c r="G28" s="1"/>
    </row>
    <row r="29" spans="1:7" x14ac:dyDescent="0.25">
      <c r="A29" s="1"/>
      <c r="B29" s="147" t="s">
        <v>10</v>
      </c>
      <c r="C29" s="148"/>
      <c r="D29" s="149"/>
      <c r="E29" s="9">
        <f>-E28*'Fane 5. Individuelt eff. krav'!G9</f>
        <v>0</v>
      </c>
      <c r="F29" s="14" t="s">
        <v>3</v>
      </c>
      <c r="G29" s="1"/>
    </row>
    <row r="30" spans="1:7" x14ac:dyDescent="0.25">
      <c r="A30" s="1"/>
      <c r="B30" s="147" t="s">
        <v>23</v>
      </c>
      <c r="C30" s="148"/>
      <c r="D30" s="149"/>
      <c r="E30" s="9">
        <f>-E28*'Fane 15. Nøgletal'!C33</f>
        <v>0</v>
      </c>
      <c r="F30" s="14" t="s">
        <v>3</v>
      </c>
      <c r="G30" s="1"/>
    </row>
    <row r="31" spans="1:7" x14ac:dyDescent="0.25">
      <c r="A31" s="1"/>
      <c r="B31" s="114" t="s">
        <v>238</v>
      </c>
      <c r="C31" s="115"/>
      <c r="D31" s="116"/>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bjqnbdDBUKrftJKZ5dNfoqa4VUA2VZwvQ4ElLoGboIy6nc9Ptdy60nlQS4qyh07YHwCkpTLV99VeMBJGbkHWw==" saltValue="nwKZTe9/jG7+wGbescey2w=="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186</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4" t="s">
        <v>112</v>
      </c>
      <c r="C8" s="115"/>
      <c r="D8" s="115"/>
      <c r="E8" s="115"/>
      <c r="F8" s="116"/>
      <c r="G8" s="1"/>
    </row>
    <row r="9" spans="1:7" ht="15" customHeight="1" x14ac:dyDescent="0.25">
      <c r="A9" s="1"/>
      <c r="B9" s="31" t="s">
        <v>113</v>
      </c>
      <c r="C9" s="31" t="s">
        <v>11</v>
      </c>
      <c r="D9" s="32"/>
      <c r="E9" s="31" t="s">
        <v>28</v>
      </c>
      <c r="F9" s="32"/>
      <c r="G9" s="1"/>
    </row>
    <row r="10" spans="1:7" ht="26.25" x14ac:dyDescent="0.25">
      <c r="A10" s="1"/>
      <c r="B10" s="67" t="s">
        <v>270</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GCAeyk49qXNWD+kzY9WWn+aabskCglTcOeWALF/qyVpkEIjciThT2lP0PmPKvIf9250EDi4q1qnFyROyQbNrig==" saltValue="afoh+v0MCuKVOYd1bC2qY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0" t="s">
        <v>187</v>
      </c>
      <c r="C3" s="110"/>
      <c r="D3" s="110"/>
      <c r="E3" s="110"/>
      <c r="F3" s="110"/>
      <c r="G3" s="1"/>
    </row>
    <row r="4" spans="1:7" ht="25.5" customHeight="1" x14ac:dyDescent="0.25">
      <c r="A4" s="1"/>
      <c r="B4" s="110"/>
      <c r="C4" s="110"/>
      <c r="D4" s="110"/>
      <c r="E4" s="110"/>
      <c r="F4" s="11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4" t="s">
        <v>240</v>
      </c>
      <c r="C9" s="115"/>
      <c r="D9" s="115"/>
      <c r="E9" s="115"/>
      <c r="F9" s="116"/>
      <c r="G9" s="1"/>
    </row>
    <row r="10" spans="1:7" ht="26.25" customHeight="1" x14ac:dyDescent="0.25">
      <c r="A10" s="1"/>
      <c r="B10" s="31" t="s">
        <v>18</v>
      </c>
      <c r="C10" s="141" t="s">
        <v>11</v>
      </c>
      <c r="D10" s="143"/>
      <c r="E10" s="141" t="s">
        <v>28</v>
      </c>
      <c r="F10" s="143"/>
      <c r="G10" s="1"/>
    </row>
    <row r="11" spans="1:7" x14ac:dyDescent="0.25">
      <c r="A11" s="1"/>
      <c r="B11" s="67" t="s">
        <v>271</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46"/>
      <c r="C15" s="146"/>
      <c r="D15" s="146"/>
      <c r="E15" s="146"/>
      <c r="F15" s="146"/>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46"/>
      <c r="C21" s="146"/>
      <c r="D21" s="146"/>
      <c r="E21" s="146"/>
      <c r="F21" s="146"/>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46"/>
      <c r="C27" s="146"/>
      <c r="D27" s="146"/>
      <c r="E27" s="146"/>
      <c r="F27" s="146"/>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Caq7324zOF0ljPXijZGjJexeXms+gaTwMuCxAi4NxE0ZJ18BVqG1U/wiSyrMYV703mXjXkBmoYIRkg324O97w==" saltValue="fIK9kFg8rmpAt/Y0hjCqmQ=="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201</v>
      </c>
      <c r="C3" s="107"/>
      <c r="D3" s="107"/>
      <c r="E3" s="1"/>
    </row>
    <row r="4" spans="1:5" ht="15" customHeight="1" x14ac:dyDescent="0.25">
      <c r="A4" s="1"/>
      <c r="B4" s="107"/>
      <c r="C4" s="107"/>
      <c r="D4" s="10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68976508.753178045</v>
      </c>
      <c r="D9" s="8" t="s">
        <v>3</v>
      </c>
      <c r="E9" s="1"/>
    </row>
    <row r="10" spans="1:5" ht="17.25" customHeight="1" x14ac:dyDescent="0.25">
      <c r="A10" s="1"/>
      <c r="B10" s="84" t="s">
        <v>36</v>
      </c>
      <c r="C10" s="7">
        <f>'Fane 11.1. Varige tillæg'!C20</f>
        <v>822159.15599999996</v>
      </c>
      <c r="D10" s="8" t="s">
        <v>3</v>
      </c>
      <c r="E10" s="1"/>
    </row>
    <row r="11" spans="1:5" ht="17.25" customHeight="1" x14ac:dyDescent="0.25">
      <c r="A11" s="1"/>
      <c r="B11" s="84" t="s">
        <v>37</v>
      </c>
      <c r="C11" s="9">
        <f>'Fane 11.1. Varige tillæg'!E20</f>
        <v>1474499.7736</v>
      </c>
      <c r="D11" s="8" t="s">
        <v>3</v>
      </c>
      <c r="E11" s="1"/>
    </row>
    <row r="12" spans="1:5" ht="17.25" customHeight="1" x14ac:dyDescent="0.25">
      <c r="A12" s="1"/>
      <c r="B12" s="84" t="s">
        <v>26</v>
      </c>
      <c r="C12" s="9">
        <f>-'Fane 14. Bortfald'!C13</f>
        <v>0</v>
      </c>
      <c r="D12" s="8" t="s">
        <v>3</v>
      </c>
      <c r="E12" s="1"/>
    </row>
    <row r="13" spans="1:5" ht="17.25" customHeight="1" x14ac:dyDescent="0.25">
      <c r="A13" s="1"/>
      <c r="B13" s="84" t="s">
        <v>25</v>
      </c>
      <c r="C13" s="9">
        <f>-'Fane 14. Bortfald'!E13</f>
        <v>0</v>
      </c>
      <c r="D13" s="8" t="s">
        <v>3</v>
      </c>
      <c r="E13" s="1"/>
    </row>
    <row r="14" spans="1:5" ht="17.25" customHeight="1" x14ac:dyDescent="0.25">
      <c r="A14" s="1"/>
      <c r="B14" s="84" t="s">
        <v>105</v>
      </c>
      <c r="C14" s="9">
        <f>'Fane 13. Tilknyttet virksomhed'!C14</f>
        <v>0</v>
      </c>
      <c r="D14" s="8" t="s">
        <v>3</v>
      </c>
      <c r="E14" s="1"/>
    </row>
    <row r="15" spans="1:5" ht="17.25" customHeight="1" x14ac:dyDescent="0.25">
      <c r="A15" s="1"/>
      <c r="B15" s="84" t="s">
        <v>106</v>
      </c>
      <c r="C15" s="9">
        <f>'Fane 13. Tilknyttet virksomhed'!E14</f>
        <v>0</v>
      </c>
      <c r="D15" s="8" t="s">
        <v>3</v>
      </c>
      <c r="E15" s="1"/>
    </row>
    <row r="16" spans="1:5" ht="17.25" customHeight="1" x14ac:dyDescent="0.25">
      <c r="A16" s="1"/>
      <c r="B16" s="84" t="s">
        <v>19</v>
      </c>
      <c r="C16" s="41">
        <f>SUM(C9)*'Fane 15. Nøgletal'!C16+SUM(C10:C15)*'Fane 15. Nøgletal'!C16</f>
        <v>5758871.9487684658</v>
      </c>
      <c r="D16" s="8" t="s">
        <v>3</v>
      </c>
      <c r="E16" s="1"/>
    </row>
    <row r="17" spans="1:5" ht="17.25" customHeight="1" x14ac:dyDescent="0.25">
      <c r="A17" s="1"/>
      <c r="B17" s="84" t="s">
        <v>10</v>
      </c>
      <c r="C17" s="41">
        <f>-SUM(C9,C10:C16)*'Fane 5. Individuelt eff. krav'!G9</f>
        <v>0</v>
      </c>
      <c r="D17" s="8" t="s">
        <v>3</v>
      </c>
      <c r="E17" s="1"/>
    </row>
    <row r="18" spans="1:5" ht="17.25" customHeight="1" x14ac:dyDescent="0.25">
      <c r="A18" s="1"/>
      <c r="B18" s="84" t="s">
        <v>23</v>
      </c>
      <c r="C18" s="41">
        <f>-'Fane 4.1. Gen. krav - drift'!G54</f>
        <v>-516800.52252924663</v>
      </c>
      <c r="D18" s="8" t="s">
        <v>3</v>
      </c>
      <c r="E18" s="1"/>
    </row>
    <row r="19" spans="1:5" ht="17.25" customHeight="1" x14ac:dyDescent="0.25">
      <c r="A19" s="1"/>
      <c r="B19" s="84" t="s">
        <v>24</v>
      </c>
      <c r="C19" s="41">
        <f>-'Fane 4.2. Gen. krav - anlæg'!G55</f>
        <v>0</v>
      </c>
      <c r="D19" s="8" t="s">
        <v>3</v>
      </c>
      <c r="E19" s="47"/>
    </row>
    <row r="20" spans="1:5" ht="17.25" customHeight="1" x14ac:dyDescent="0.25">
      <c r="A20" s="1"/>
      <c r="B20" s="78" t="s">
        <v>21</v>
      </c>
      <c r="C20" s="10">
        <f>SUM(C9:C19)</f>
        <v>76515239.109017268</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2048028.5468518399</v>
      </c>
      <c r="D22" s="11" t="s">
        <v>3</v>
      </c>
      <c r="E22" s="1"/>
    </row>
    <row r="23" spans="1:5" ht="15" customHeight="1" x14ac:dyDescent="0.25">
      <c r="A23" s="1"/>
      <c r="B23" s="33" t="s">
        <v>74</v>
      </c>
      <c r="C23" s="28"/>
      <c r="D23" s="19"/>
      <c r="E23" s="1"/>
    </row>
    <row r="24" spans="1:5" ht="15" customHeight="1" x14ac:dyDescent="0.25">
      <c r="A24" s="1"/>
      <c r="B24" s="78"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84" t="s">
        <v>158</v>
      </c>
      <c r="C26" s="41">
        <f>'Fane 11.2. Engangstillæg'!C14</f>
        <v>0</v>
      </c>
      <c r="D26" s="8" t="s">
        <v>3</v>
      </c>
      <c r="E26" s="1"/>
    </row>
    <row r="27" spans="1:5" ht="15" customHeight="1" x14ac:dyDescent="0.25">
      <c r="A27" s="1"/>
      <c r="B27" s="84" t="s">
        <v>70</v>
      </c>
      <c r="C27" s="41">
        <f>'Fane 11.2. Engangstillæg'!E14</f>
        <v>0</v>
      </c>
      <c r="D27" s="8" t="s">
        <v>3</v>
      </c>
      <c r="E27" s="1"/>
    </row>
    <row r="28" spans="1:5" ht="15" customHeight="1" x14ac:dyDescent="0.25">
      <c r="A28" s="1"/>
      <c r="B28" s="84" t="s">
        <v>161</v>
      </c>
      <c r="C28" s="41">
        <f>-C26*('Fane 15. Nøgletal'!C33+'Fane 5. Individuelt eff. krav'!G9)</f>
        <v>0</v>
      </c>
      <c r="D28" s="8" t="s">
        <v>3</v>
      </c>
      <c r="E28" s="1"/>
    </row>
    <row r="29" spans="1:5" ht="15" customHeight="1" x14ac:dyDescent="0.25">
      <c r="A29" s="1"/>
      <c r="B29" s="84" t="s">
        <v>162</v>
      </c>
      <c r="C29" s="41">
        <f>-C27*('Fane 15. Nøgletal'!C28+'Fane 5. Individuelt eff. krav'!G9)</f>
        <v>0</v>
      </c>
      <c r="D29" s="8" t="s">
        <v>3</v>
      </c>
      <c r="E29" s="1"/>
    </row>
    <row r="30" spans="1:5" ht="15" customHeight="1" x14ac:dyDescent="0.25">
      <c r="A30" s="1"/>
      <c r="B30" s="68" t="s">
        <v>75</v>
      </c>
      <c r="C30" s="10">
        <f>SUM(C26:C29)</f>
        <v>0</v>
      </c>
      <c r="D30" s="11" t="s">
        <v>3</v>
      </c>
      <c r="E30" s="1"/>
    </row>
    <row r="31" spans="1:5" x14ac:dyDescent="0.25">
      <c r="A31" s="1"/>
      <c r="B31" s="33" t="s">
        <v>116</v>
      </c>
      <c r="C31" s="28"/>
      <c r="D31" s="19"/>
      <c r="E31" s="1"/>
    </row>
    <row r="32" spans="1:5" x14ac:dyDescent="0.25">
      <c r="A32" s="1"/>
      <c r="B32" s="31" t="s">
        <v>138</v>
      </c>
      <c r="C32" s="10">
        <f>'Fane 7. Kontrol af ØR2022'!E31</f>
        <v>-2195511.5</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68" t="s">
        <v>136</v>
      </c>
      <c r="C36" s="10">
        <f>'Fane 8. Skattesagen'!G13</f>
        <v>0</v>
      </c>
      <c r="D36" s="11" t="s">
        <v>3</v>
      </c>
      <c r="E36" s="1"/>
    </row>
    <row r="37" spans="1:5" x14ac:dyDescent="0.25">
      <c r="A37" s="1"/>
      <c r="B37" s="33" t="s">
        <v>108</v>
      </c>
      <c r="C37" s="49">
        <f>SUM(C34,C32,C24,C30,C22,C20,C36)</f>
        <v>76367756.155869111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WDMe83eovuVtA5tE/07mL2lvrHDo1ighKAZ15dUqf2ipAm5rX/XoXEbXGhSUnvYgZd2AVMFFr/Ze9kqgBp/Q==" saltValue="J9lp+4TVSbr/qzJ/qZkHTQ=="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0" t="s">
        <v>188</v>
      </c>
      <c r="C3" s="110"/>
      <c r="D3" s="1"/>
    </row>
    <row r="4" spans="1:4" ht="25.5" customHeight="1" x14ac:dyDescent="0.25">
      <c r="A4" s="1"/>
      <c r="B4" s="110"/>
      <c r="C4" s="110"/>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77" t="s">
        <v>94</v>
      </c>
      <c r="C9" s="25">
        <v>1.2699999999999999E-2</v>
      </c>
      <c r="D9" s="1"/>
    </row>
    <row r="10" spans="1:4" x14ac:dyDescent="0.25">
      <c r="A10" s="1"/>
      <c r="B10" s="77" t="s">
        <v>95</v>
      </c>
      <c r="C10" s="25">
        <v>1.7500000000000002E-2</v>
      </c>
      <c r="D10" s="1"/>
    </row>
    <row r="11" spans="1:4" x14ac:dyDescent="0.25">
      <c r="A11" s="1"/>
      <c r="B11" s="77"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77" t="s">
        <v>133</v>
      </c>
      <c r="C14" s="39">
        <v>3.3E-3</v>
      </c>
      <c r="D14" s="1"/>
    </row>
    <row r="15" spans="1:4" x14ac:dyDescent="0.25">
      <c r="A15" s="1"/>
      <c r="B15" s="34" t="s">
        <v>152</v>
      </c>
      <c r="C15" s="35">
        <v>3.56E-2</v>
      </c>
      <c r="D15" s="1"/>
    </row>
    <row r="16" spans="1:4" x14ac:dyDescent="0.25">
      <c r="A16" s="1"/>
      <c r="B16" s="64" t="s">
        <v>190</v>
      </c>
      <c r="C16" s="66">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77" t="s">
        <v>96</v>
      </c>
      <c r="C21" s="22">
        <v>9.1000000000000004E-3</v>
      </c>
      <c r="D21" s="1"/>
    </row>
    <row r="22" spans="1:4" x14ac:dyDescent="0.25">
      <c r="A22" s="1"/>
      <c r="B22" s="77" t="s">
        <v>118</v>
      </c>
      <c r="C22" s="22">
        <v>1.77E-2</v>
      </c>
      <c r="D22" s="1"/>
    </row>
    <row r="23" spans="1:4" x14ac:dyDescent="0.25">
      <c r="A23" s="1"/>
      <c r="B23" s="77" t="s">
        <v>119</v>
      </c>
      <c r="C23" s="22">
        <v>8.6999999999999994E-3</v>
      </c>
      <c r="D23" s="1"/>
    </row>
    <row r="24" spans="1:4" x14ac:dyDescent="0.25">
      <c r="A24" s="1"/>
      <c r="B24" s="77" t="s">
        <v>97</v>
      </c>
      <c r="C24" s="36">
        <v>2.8400000000000002E-2</v>
      </c>
      <c r="D24" s="1"/>
    </row>
    <row r="25" spans="1:4" x14ac:dyDescent="0.25">
      <c r="A25" s="1"/>
      <c r="B25" s="77" t="s">
        <v>120</v>
      </c>
      <c r="C25" s="36">
        <v>2.75E-2</v>
      </c>
      <c r="D25" s="1"/>
    </row>
    <row r="26" spans="1:4" x14ac:dyDescent="0.25">
      <c r="A26" s="1"/>
      <c r="B26" s="77" t="s">
        <v>121</v>
      </c>
      <c r="C26" s="36">
        <v>1.4800000000000001E-2</v>
      </c>
      <c r="D26" s="1"/>
    </row>
    <row r="27" spans="1:4" x14ac:dyDescent="0.25">
      <c r="A27" s="1"/>
      <c r="B27" s="34" t="s">
        <v>147</v>
      </c>
      <c r="C27" s="63">
        <v>0</v>
      </c>
      <c r="D27" s="1"/>
    </row>
    <row r="28" spans="1:4" x14ac:dyDescent="0.25">
      <c r="A28" s="1"/>
      <c r="B28" s="64" t="s">
        <v>191</v>
      </c>
      <c r="C28" s="65">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77"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HuwAd3if0XzIJzPA8matojC3/EdUTYPfH4RZCeCbKl9AxzX7bY3NMrfJETN/ajkW8LyzPTEYaHIlMqN/gWgOYg==" saltValue="6MA00TYXVZJKGyv+qpLTYQ=="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202</v>
      </c>
      <c r="C3" s="107"/>
      <c r="D3" s="107"/>
      <c r="E3" s="1"/>
    </row>
    <row r="4" spans="1:5" ht="15" customHeight="1" x14ac:dyDescent="0.25">
      <c r="A4" s="1"/>
      <c r="B4" s="107"/>
      <c r="C4" s="107"/>
      <c r="D4" s="107"/>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76515239.109017268</v>
      </c>
      <c r="D9" s="8" t="s">
        <v>3</v>
      </c>
      <c r="E9" s="1"/>
    </row>
    <row r="10" spans="1:5" ht="15" customHeight="1" x14ac:dyDescent="0.25">
      <c r="A10" s="1"/>
      <c r="B10" s="26" t="s">
        <v>19</v>
      </c>
      <c r="C10" s="7">
        <f>SUM(C9:C9)*'Fane 15. Nøgletal'!C16</f>
        <v>6182431.3200085945</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-547386.84465461748</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82150283.584371239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2213509.2534374683</v>
      </c>
      <c r="D16" s="11" t="s">
        <v>3</v>
      </c>
      <c r="E16" s="1"/>
    </row>
    <row r="17" spans="1:5" ht="15" customHeight="1" x14ac:dyDescent="0.25">
      <c r="A17" s="1"/>
      <c r="B17" s="33" t="s">
        <v>74</v>
      </c>
      <c r="C17" s="28"/>
      <c r="D17" s="19"/>
      <c r="E17" s="1"/>
    </row>
    <row r="18" spans="1:5" ht="15" customHeight="1" x14ac:dyDescent="0.25">
      <c r="A18" s="1"/>
      <c r="B18" s="78" t="s">
        <v>74</v>
      </c>
      <c r="C18" s="10">
        <f>'Fane 12. Periodevise driftsomk.'!E19</f>
        <v>0</v>
      </c>
      <c r="D18" s="11" t="s">
        <v>3</v>
      </c>
      <c r="E18" s="1"/>
    </row>
    <row r="19" spans="1:5" x14ac:dyDescent="0.25">
      <c r="A19" s="1"/>
      <c r="B19" s="33" t="s">
        <v>116</v>
      </c>
      <c r="C19" s="28"/>
      <c r="D19" s="19"/>
      <c r="E19" s="1"/>
    </row>
    <row r="20" spans="1:5" ht="15" customHeight="1" x14ac:dyDescent="0.25">
      <c r="A20" s="1"/>
      <c r="B20" s="31" t="s">
        <v>138</v>
      </c>
      <c r="C20" s="10">
        <f>'Fane 7. Kontrol af ØR2022'!E31</f>
        <v>-2195511.5</v>
      </c>
      <c r="D20" s="11" t="s">
        <v>3</v>
      </c>
      <c r="E20" s="1"/>
    </row>
    <row r="21" spans="1:5" x14ac:dyDescent="0.25">
      <c r="A21" s="1"/>
      <c r="B21" s="30" t="s">
        <v>135</v>
      </c>
      <c r="C21" s="28"/>
      <c r="D21" s="19"/>
      <c r="E21" s="1"/>
    </row>
    <row r="22" spans="1:5" x14ac:dyDescent="0.25">
      <c r="A22" s="1"/>
      <c r="B22" s="68" t="s">
        <v>136</v>
      </c>
      <c r="C22" s="10">
        <f>'Fane 8. Skattesagen'!G14</f>
        <v>0</v>
      </c>
      <c r="D22" s="11" t="s">
        <v>3</v>
      </c>
      <c r="E22" s="1"/>
    </row>
    <row r="23" spans="1:5" x14ac:dyDescent="0.25">
      <c r="A23" s="1"/>
      <c r="B23" s="33" t="s">
        <v>122</v>
      </c>
      <c r="C23" s="12">
        <f>SUM(C14,C16,C18,C20,C22)</f>
        <v>82168281.337808713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PVw31zgZFVqpnBMnZgjwDZc+iddDW2/JXdfCgRGBNa4Wn4Dr9Mp9nAwbhpI/by9aohNSnlQkyx/96LmfSvK2Q==" saltValue="5I+buenLWElawbkTm8egq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07" t="s">
        <v>203</v>
      </c>
      <c r="C3" s="107"/>
      <c r="D3" s="107"/>
      <c r="E3" s="1"/>
    </row>
    <row r="4" spans="1:5" ht="15" customHeight="1" x14ac:dyDescent="0.25">
      <c r="A4" s="1"/>
      <c r="B4" s="107"/>
      <c r="C4" s="107"/>
      <c r="D4" s="107"/>
      <c r="E4" s="1"/>
    </row>
    <row r="5" spans="1:5" x14ac:dyDescent="0.25">
      <c r="A5" s="1"/>
      <c r="B5" s="108" t="s">
        <v>254</v>
      </c>
      <c r="C5" s="108"/>
      <c r="D5" s="108"/>
      <c r="E5" s="1"/>
    </row>
    <row r="6" spans="1:5" x14ac:dyDescent="0.25">
      <c r="A6" s="1"/>
      <c r="B6" s="69"/>
      <c r="C6" s="69"/>
      <c r="D6" s="69"/>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82150283.584371239</v>
      </c>
      <c r="D9" s="8" t="s">
        <v>3</v>
      </c>
      <c r="E9" s="1"/>
    </row>
    <row r="10" spans="1:5" ht="15" customHeight="1" x14ac:dyDescent="0.25">
      <c r="A10" s="1"/>
      <c r="B10" s="26" t="s">
        <v>19</v>
      </c>
      <c r="C10" s="7">
        <f>SUM(C9:C9)*'Fane 15. Nøgletal'!C16</f>
        <v>6637742.9136171956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-579783.3876686563</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88208243.110319778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2392360.8011152158</v>
      </c>
      <c r="D16" s="11" t="s">
        <v>3</v>
      </c>
      <c r="E16" s="1"/>
    </row>
    <row r="17" spans="1:5" ht="15" customHeight="1" x14ac:dyDescent="0.25">
      <c r="A17" s="1"/>
      <c r="B17" s="33" t="s">
        <v>74</v>
      </c>
      <c r="C17" s="28"/>
      <c r="D17" s="19"/>
      <c r="E17" s="1"/>
    </row>
    <row r="18" spans="1:5" ht="15" customHeight="1" x14ac:dyDescent="0.25">
      <c r="A18" s="1"/>
      <c r="B18" s="78"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31" t="s">
        <v>138</v>
      </c>
      <c r="C20" s="10">
        <v>0</v>
      </c>
      <c r="D20" s="11" t="s">
        <v>3</v>
      </c>
      <c r="E20" s="1"/>
    </row>
    <row r="21" spans="1:5" x14ac:dyDescent="0.25">
      <c r="A21" s="1"/>
      <c r="B21" s="30" t="s">
        <v>135</v>
      </c>
      <c r="C21" s="28"/>
      <c r="D21" s="19"/>
      <c r="E21" s="1"/>
    </row>
    <row r="22" spans="1:5" x14ac:dyDescent="0.25">
      <c r="A22" s="1"/>
      <c r="B22" s="68" t="s">
        <v>136</v>
      </c>
      <c r="C22" s="10">
        <f>'Fane 8. Skattesagen'!G15</f>
        <v>0</v>
      </c>
      <c r="D22" s="11" t="s">
        <v>3</v>
      </c>
      <c r="E22" s="1"/>
    </row>
    <row r="23" spans="1:5" x14ac:dyDescent="0.25">
      <c r="A23" s="1"/>
      <c r="B23" s="33" t="s">
        <v>140</v>
      </c>
      <c r="C23" s="12">
        <f>SUM(C14,C16,C18,C20,C22)</f>
        <v>90600603.911434993</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yQUhh+g6QjRDnfcIwFaCVz6D0UCCArLi0Fpw8fajRAt4CEQ4FB+RYYJaadG+D/HK63ar6CIyypqOO0l1P9/Zg==" saltValue="3i/j9iKfvBq77OQ0whS6U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07" t="s">
        <v>204</v>
      </c>
      <c r="C3" s="107"/>
      <c r="D3" s="107"/>
      <c r="E3" s="1"/>
      <c r="F3" s="1"/>
    </row>
    <row r="4" spans="1:6" ht="15" customHeight="1" x14ac:dyDescent="0.25">
      <c r="A4" s="1"/>
      <c r="B4" s="107"/>
      <c r="C4" s="107"/>
      <c r="D4" s="107"/>
      <c r="E4" s="1"/>
      <c r="F4" s="1"/>
    </row>
    <row r="5" spans="1:6" x14ac:dyDescent="0.25">
      <c r="A5" s="1"/>
      <c r="B5" s="108" t="s">
        <v>254</v>
      </c>
      <c r="C5" s="108"/>
      <c r="D5" s="108"/>
      <c r="E5" s="1"/>
      <c r="F5" s="1"/>
    </row>
    <row r="6" spans="1:6" x14ac:dyDescent="0.25">
      <c r="A6" s="1"/>
      <c r="B6" s="69"/>
      <c r="C6" s="69"/>
      <c r="D6" s="69"/>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88208243.110319778</v>
      </c>
      <c r="D9" s="8" t="s">
        <v>3</v>
      </c>
      <c r="E9" s="1"/>
      <c r="F9" s="1"/>
    </row>
    <row r="10" spans="1:6" ht="15" customHeight="1" x14ac:dyDescent="0.25">
      <c r="A10" s="1"/>
      <c r="B10" s="26" t="s">
        <v>19</v>
      </c>
      <c r="C10" s="7">
        <f>SUM(C9:C9)*'Fane 15. Nøgletal'!C16</f>
        <v>7127226.0433138376</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-614097.28768443805</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94721371.865949169</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2585663.553845325</v>
      </c>
      <c r="D16" s="11" t="s">
        <v>3</v>
      </c>
      <c r="E16" s="1"/>
      <c r="F16" s="1"/>
    </row>
    <row r="17" spans="1:6" ht="15" customHeight="1" x14ac:dyDescent="0.25">
      <c r="A17" s="1"/>
      <c r="B17" s="33" t="s">
        <v>74</v>
      </c>
      <c r="C17" s="28"/>
      <c r="D17" s="19"/>
      <c r="E17" s="1"/>
      <c r="F17" s="1"/>
    </row>
    <row r="18" spans="1:6" ht="15" customHeight="1" x14ac:dyDescent="0.25">
      <c r="A18" s="1"/>
      <c r="B18" s="78"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68" t="s">
        <v>136</v>
      </c>
      <c r="C22" s="10">
        <f>'Fane 8. Skattesagen'!G16</f>
        <v>0</v>
      </c>
      <c r="D22" s="11" t="s">
        <v>3</v>
      </c>
      <c r="E22" s="1"/>
      <c r="F22" s="1"/>
    </row>
    <row r="23" spans="1:6" x14ac:dyDescent="0.25">
      <c r="A23" s="1"/>
      <c r="B23" s="33" t="s">
        <v>209</v>
      </c>
      <c r="C23" s="12">
        <f>SUM(C14,C16,C18,C20,C22)</f>
        <v>97307035.4197945</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aruvQjfWFJITz1oi8VQf5XxMvsYRc8+7Rj+a3DI68zJRwEmD5nCMHLF+1txMs0KfeRY6mR1iUbQGin5DBF9C7A==" saltValue="I/OyK/KoDjjXm7E6vFr4Iw=="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0" t="s">
        <v>205</v>
      </c>
      <c r="C3" s="110"/>
      <c r="D3" s="110"/>
      <c r="E3" s="1"/>
    </row>
    <row r="4" spans="1:5" x14ac:dyDescent="0.25">
      <c r="A4" s="1"/>
      <c r="B4" s="110"/>
      <c r="C4" s="110"/>
      <c r="D4" s="110"/>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255</v>
      </c>
      <c r="C8" s="28"/>
      <c r="D8" s="19"/>
      <c r="E8" s="1"/>
    </row>
    <row r="9" spans="1:5" x14ac:dyDescent="0.25">
      <c r="A9" s="1"/>
      <c r="B9" s="29" t="s">
        <v>256</v>
      </c>
      <c r="C9" s="7">
        <v>70526967.326666519</v>
      </c>
      <c r="D9" s="8" t="s">
        <v>3</v>
      </c>
      <c r="E9" s="1"/>
    </row>
    <row r="10" spans="1:5" x14ac:dyDescent="0.25">
      <c r="A10" s="1"/>
      <c r="B10" s="84" t="s">
        <v>36</v>
      </c>
      <c r="C10" s="7">
        <v>266873.08439999999</v>
      </c>
      <c r="D10" s="8" t="s">
        <v>3</v>
      </c>
      <c r="E10" s="1"/>
    </row>
    <row r="11" spans="1:5" x14ac:dyDescent="0.25">
      <c r="A11" s="1"/>
      <c r="B11" s="84" t="s">
        <v>37</v>
      </c>
      <c r="C11" s="9">
        <v>157309.71120000002</v>
      </c>
      <c r="D11" s="8" t="s">
        <v>3</v>
      </c>
      <c r="E11" s="1"/>
    </row>
    <row r="12" spans="1:5" x14ac:dyDescent="0.25">
      <c r="A12" s="1"/>
      <c r="B12" s="84" t="s">
        <v>26</v>
      </c>
      <c r="C12" s="9">
        <v>0</v>
      </c>
      <c r="D12" s="8" t="s">
        <v>3</v>
      </c>
      <c r="E12" s="1"/>
    </row>
    <row r="13" spans="1:5" x14ac:dyDescent="0.25">
      <c r="A13" s="1"/>
      <c r="B13" s="84" t="s">
        <v>25</v>
      </c>
      <c r="C13" s="9">
        <v>0</v>
      </c>
      <c r="D13" s="8" t="s">
        <v>3</v>
      </c>
      <c r="E13" s="1"/>
    </row>
    <row r="14" spans="1:5" x14ac:dyDescent="0.25">
      <c r="A14" s="1"/>
      <c r="B14" s="84" t="s">
        <v>105</v>
      </c>
      <c r="C14" s="9">
        <v>0</v>
      </c>
      <c r="D14" s="8" t="s">
        <v>3</v>
      </c>
      <c r="E14" s="1"/>
    </row>
    <row r="15" spans="1:5" x14ac:dyDescent="0.25">
      <c r="A15" s="1"/>
      <c r="B15" s="84" t="s">
        <v>106</v>
      </c>
      <c r="C15" s="9">
        <v>0</v>
      </c>
      <c r="D15" s="8" t="s">
        <v>3</v>
      </c>
      <c r="E15" s="1"/>
    </row>
    <row r="16" spans="1:5" x14ac:dyDescent="0.25">
      <c r="A16" s="1"/>
      <c r="B16" s="84" t="s">
        <v>19</v>
      </c>
      <c r="C16" s="41">
        <v>247839.89970135951</v>
      </c>
      <c r="D16" s="8" t="s">
        <v>3</v>
      </c>
      <c r="E16" s="1"/>
    </row>
    <row r="17" spans="1:5" x14ac:dyDescent="0.25">
      <c r="A17" s="1"/>
      <c r="B17" s="84" t="s">
        <v>10</v>
      </c>
      <c r="C17" s="41">
        <v>-975675.24901973736</v>
      </c>
      <c r="D17" s="8" t="s">
        <v>3</v>
      </c>
      <c r="E17" s="1"/>
    </row>
    <row r="18" spans="1:5" x14ac:dyDescent="0.25">
      <c r="A18" s="1"/>
      <c r="B18" s="84" t="s">
        <v>23</v>
      </c>
      <c r="C18" s="41">
        <v>-471144.51333587989</v>
      </c>
      <c r="D18" s="8" t="s">
        <v>3</v>
      </c>
      <c r="E18" s="1"/>
    </row>
    <row r="19" spans="1:5" x14ac:dyDescent="0.25">
      <c r="A19" s="1"/>
      <c r="B19" s="84" t="s">
        <v>24</v>
      </c>
      <c r="C19" s="41">
        <v>-775661.50643419649</v>
      </c>
      <c r="D19" s="8" t="s">
        <v>3</v>
      </c>
      <c r="E19" s="47"/>
    </row>
    <row r="20" spans="1:5" x14ac:dyDescent="0.25">
      <c r="A20" s="1"/>
      <c r="B20" s="78" t="s">
        <v>21</v>
      </c>
      <c r="C20" s="10">
        <v>68976508.753178045</v>
      </c>
      <c r="D20" s="11" t="s">
        <v>3</v>
      </c>
      <c r="E20" s="1"/>
    </row>
    <row r="21" spans="1:5" x14ac:dyDescent="0.25">
      <c r="A21" s="1"/>
      <c r="B21" s="33" t="s">
        <v>12</v>
      </c>
      <c r="C21" s="28"/>
      <c r="D21" s="19"/>
      <c r="E21" s="1"/>
    </row>
    <row r="22" spans="1:5" x14ac:dyDescent="0.25">
      <c r="A22" s="1"/>
      <c r="B22" s="31" t="s">
        <v>12</v>
      </c>
      <c r="C22" s="10">
        <v>2022412.8313915201</v>
      </c>
      <c r="D22" s="11" t="s">
        <v>3</v>
      </c>
      <c r="E22" s="1"/>
    </row>
    <row r="23" spans="1:5" x14ac:dyDescent="0.25">
      <c r="A23" s="1"/>
      <c r="B23" s="33" t="s">
        <v>74</v>
      </c>
      <c r="C23" s="28"/>
      <c r="D23" s="19"/>
      <c r="E23" s="1"/>
    </row>
    <row r="24" spans="1:5" x14ac:dyDescent="0.25">
      <c r="A24" s="1"/>
      <c r="B24" s="78" t="s">
        <v>74</v>
      </c>
      <c r="C24" s="10">
        <v>0</v>
      </c>
      <c r="D24" s="11" t="s">
        <v>3</v>
      </c>
      <c r="E24" s="1"/>
    </row>
    <row r="25" spans="1:5" x14ac:dyDescent="0.25">
      <c r="A25" s="1"/>
      <c r="B25" s="44" t="s">
        <v>73</v>
      </c>
      <c r="C25" s="42"/>
      <c r="D25" s="43"/>
      <c r="E25" s="1"/>
    </row>
    <row r="26" spans="1:5" x14ac:dyDescent="0.25">
      <c r="A26" s="1"/>
      <c r="B26" s="84" t="s">
        <v>158</v>
      </c>
      <c r="C26" s="9">
        <v>0</v>
      </c>
      <c r="D26" s="8" t="s">
        <v>3</v>
      </c>
      <c r="E26" s="1"/>
    </row>
    <row r="27" spans="1:5" x14ac:dyDescent="0.25">
      <c r="A27" s="1"/>
      <c r="B27" s="84" t="s">
        <v>70</v>
      </c>
      <c r="C27" s="9">
        <v>0</v>
      </c>
      <c r="D27" s="8" t="s">
        <v>3</v>
      </c>
      <c r="E27" s="1"/>
    </row>
    <row r="28" spans="1:5" x14ac:dyDescent="0.25">
      <c r="A28" s="1"/>
      <c r="B28" s="84" t="s">
        <v>161</v>
      </c>
      <c r="C28" s="9">
        <v>0</v>
      </c>
      <c r="D28" s="8" t="s">
        <v>3</v>
      </c>
      <c r="E28" s="1"/>
    </row>
    <row r="29" spans="1:5" x14ac:dyDescent="0.25">
      <c r="A29" s="1"/>
      <c r="B29" s="84" t="s">
        <v>162</v>
      </c>
      <c r="C29" s="9">
        <v>0</v>
      </c>
      <c r="D29" s="8" t="s">
        <v>3</v>
      </c>
      <c r="E29" s="1"/>
    </row>
    <row r="30" spans="1:5" x14ac:dyDescent="0.25">
      <c r="A30" s="1"/>
      <c r="B30" s="68" t="s">
        <v>75</v>
      </c>
      <c r="C30" s="10">
        <v>0</v>
      </c>
      <c r="D30" s="11" t="s">
        <v>3</v>
      </c>
      <c r="E30" s="1"/>
    </row>
    <row r="31" spans="1:5" x14ac:dyDescent="0.25">
      <c r="A31" s="1"/>
      <c r="B31" s="33" t="s">
        <v>116</v>
      </c>
      <c r="C31" s="28"/>
      <c r="D31" s="19"/>
      <c r="E31" s="1"/>
    </row>
    <row r="32" spans="1:5" x14ac:dyDescent="0.25">
      <c r="A32" s="1"/>
      <c r="B32" s="31" t="s">
        <v>138</v>
      </c>
      <c r="C32" s="10">
        <v>-1934012.4859842956</v>
      </c>
      <c r="D32" s="11" t="s">
        <v>3</v>
      </c>
      <c r="E32" s="1"/>
    </row>
    <row r="33" spans="1:5" x14ac:dyDescent="0.25">
      <c r="A33" s="1"/>
      <c r="B33" s="33" t="s">
        <v>267</v>
      </c>
      <c r="C33" s="28"/>
      <c r="D33" s="19"/>
      <c r="E33" s="1"/>
    </row>
    <row r="34" spans="1:5" x14ac:dyDescent="0.25">
      <c r="A34" s="1"/>
      <c r="B34" s="31" t="s">
        <v>267</v>
      </c>
      <c r="C34" s="10">
        <v>0</v>
      </c>
      <c r="D34" s="11" t="s">
        <v>3</v>
      </c>
      <c r="E34" s="1"/>
    </row>
    <row r="35" spans="1:5" x14ac:dyDescent="0.25">
      <c r="A35" s="1"/>
      <c r="B35" s="30" t="s">
        <v>135</v>
      </c>
      <c r="C35" s="28"/>
      <c r="D35" s="19"/>
      <c r="E35" s="1"/>
    </row>
    <row r="36" spans="1:5" x14ac:dyDescent="0.25">
      <c r="A36" s="1"/>
      <c r="B36" s="68" t="s">
        <v>136</v>
      </c>
      <c r="C36" s="10">
        <v>0</v>
      </c>
      <c r="D36" s="11" t="s">
        <v>3</v>
      </c>
      <c r="E36" s="1"/>
    </row>
    <row r="37" spans="1:5" x14ac:dyDescent="0.25">
      <c r="A37" s="1"/>
      <c r="B37" s="33" t="s">
        <v>268</v>
      </c>
      <c r="C37" s="49">
        <v>69064909.098585263</v>
      </c>
      <c r="D37" s="30" t="s">
        <v>3</v>
      </c>
      <c r="E37" s="1"/>
    </row>
    <row r="38" spans="1:5" ht="30" customHeight="1" x14ac:dyDescent="0.25">
      <c r="A38" s="1"/>
      <c r="B38" s="109" t="s">
        <v>269</v>
      </c>
      <c r="C38" s="109"/>
      <c r="D38" s="109"/>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Vzhe/e+MxySe+0n8I553I8PZIXGecjgT2LRrLelYkccBgPHKgdXXKOlNtuOYMRxZJbIuY8Y8UhO37pRxV2mqKg==" saltValue="37qKIgbTP2YY/8Uy9+2QoA=="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0" t="s">
        <v>91</v>
      </c>
      <c r="C2" s="110"/>
      <c r="D2" s="110"/>
      <c r="E2" s="110"/>
      <c r="F2" s="110"/>
      <c r="G2" s="110"/>
      <c r="H2" s="110"/>
      <c r="I2" s="1"/>
    </row>
    <row r="3" spans="1:9" ht="28.5" customHeight="1" x14ac:dyDescent="0.25">
      <c r="A3" s="1"/>
      <c r="B3" s="110"/>
      <c r="C3" s="110"/>
      <c r="D3" s="110"/>
      <c r="E3" s="110"/>
      <c r="F3" s="110"/>
      <c r="G3" s="110"/>
      <c r="H3" s="110"/>
      <c r="I3" s="1"/>
    </row>
    <row r="4" spans="1:9" x14ac:dyDescent="0.25">
      <c r="A4" s="1"/>
      <c r="B4" s="114" t="s">
        <v>46</v>
      </c>
      <c r="C4" s="115"/>
      <c r="D4" s="115"/>
      <c r="E4" s="115"/>
      <c r="F4" s="115"/>
      <c r="G4" s="115"/>
      <c r="H4" s="116"/>
      <c r="I4" s="1"/>
    </row>
    <row r="5" spans="1:9" x14ac:dyDescent="0.25">
      <c r="A5" s="1"/>
      <c r="B5" s="117" t="s">
        <v>38</v>
      </c>
      <c r="C5" s="118"/>
      <c r="D5" s="118"/>
      <c r="E5" s="118"/>
      <c r="F5" s="119"/>
      <c r="G5" s="23">
        <v>23511839.358604852</v>
      </c>
      <c r="H5" s="14" t="s">
        <v>3</v>
      </c>
      <c r="I5" s="1"/>
    </row>
    <row r="6" spans="1:9" x14ac:dyDescent="0.25">
      <c r="A6" s="1"/>
      <c r="B6" s="111" t="s">
        <v>102</v>
      </c>
      <c r="C6" s="112"/>
      <c r="D6" s="112"/>
      <c r="E6" s="112"/>
      <c r="F6" s="113"/>
      <c r="G6" s="9">
        <v>0</v>
      </c>
      <c r="H6" s="14" t="s">
        <v>3</v>
      </c>
      <c r="I6" s="1"/>
    </row>
    <row r="7" spans="1:9" x14ac:dyDescent="0.25">
      <c r="A7" s="1"/>
      <c r="B7" s="117" t="s">
        <v>39</v>
      </c>
      <c r="C7" s="118"/>
      <c r="D7" s="118"/>
      <c r="E7" s="118"/>
      <c r="F7" s="119"/>
      <c r="G7" s="23">
        <f>SUM(G5:G6)*'Fane 15. Nøgletal'!C33</f>
        <v>470236.78717209707</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14" t="s">
        <v>47</v>
      </c>
      <c r="C10" s="115"/>
      <c r="D10" s="115"/>
      <c r="E10" s="115"/>
      <c r="F10" s="115"/>
      <c r="G10" s="115"/>
      <c r="H10" s="116"/>
      <c r="I10" s="1"/>
    </row>
    <row r="11" spans="1:9" x14ac:dyDescent="0.25">
      <c r="A11" s="1"/>
      <c r="B11" s="117" t="s">
        <v>40</v>
      </c>
      <c r="C11" s="118"/>
      <c r="D11" s="118"/>
      <c r="E11" s="118"/>
      <c r="F11" s="119"/>
      <c r="G11" s="23">
        <f>(G5-G7)*(1+'Fane 15. Nøgletal'!C10)</f>
        <v>23444830.616432831</v>
      </c>
      <c r="H11" s="14" t="s">
        <v>3</v>
      </c>
      <c r="I11" s="1"/>
    </row>
    <row r="12" spans="1:9" ht="15" customHeight="1" x14ac:dyDescent="0.25">
      <c r="A12" s="1"/>
      <c r="B12" s="117" t="s">
        <v>103</v>
      </c>
      <c r="C12" s="118"/>
      <c r="D12" s="118"/>
      <c r="E12" s="118"/>
      <c r="F12" s="119"/>
      <c r="G12" s="9">
        <v>-18738.228616252003</v>
      </c>
      <c r="H12" s="14" t="s">
        <v>3</v>
      </c>
      <c r="I12" s="1"/>
    </row>
    <row r="13" spans="1:9" x14ac:dyDescent="0.25">
      <c r="A13" s="1"/>
      <c r="B13" s="111" t="s">
        <v>100</v>
      </c>
      <c r="C13" s="112"/>
      <c r="D13" s="112"/>
      <c r="E13" s="112"/>
      <c r="F13" s="113"/>
      <c r="G13" s="9">
        <v>0</v>
      </c>
      <c r="H13" s="14" t="s">
        <v>3</v>
      </c>
      <c r="I13" s="1"/>
    </row>
    <row r="14" spans="1:9" x14ac:dyDescent="0.25">
      <c r="A14" s="1"/>
      <c r="B14" s="120" t="s">
        <v>244</v>
      </c>
      <c r="C14" s="121"/>
      <c r="D14" s="121"/>
      <c r="E14" s="121"/>
      <c r="F14" s="122"/>
      <c r="G14" s="9">
        <v>0</v>
      </c>
      <c r="H14" s="14" t="s">
        <v>3</v>
      </c>
      <c r="I14" s="1"/>
    </row>
    <row r="15" spans="1:9" x14ac:dyDescent="0.25">
      <c r="A15" s="1"/>
      <c r="B15" s="117" t="s">
        <v>41</v>
      </c>
      <c r="C15" s="118"/>
      <c r="D15" s="118"/>
      <c r="E15" s="118"/>
      <c r="F15" s="119"/>
      <c r="G15" s="23">
        <f>SUM(G11:G14)*'Fane 15. Nøgletal'!C33</f>
        <v>468521.84775633155</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14" t="s">
        <v>48</v>
      </c>
      <c r="C18" s="115"/>
      <c r="D18" s="115"/>
      <c r="E18" s="115"/>
      <c r="F18" s="115"/>
      <c r="G18" s="115"/>
      <c r="H18" s="116"/>
      <c r="I18" s="1"/>
    </row>
    <row r="19" spans="1:9" x14ac:dyDescent="0.25">
      <c r="A19" s="1"/>
      <c r="B19" s="117" t="s">
        <v>42</v>
      </c>
      <c r="C19" s="118"/>
      <c r="D19" s="118"/>
      <c r="E19" s="118"/>
      <c r="F19" s="119"/>
      <c r="G19" s="23">
        <f>(SUM(G11:G12,G14)-(G15))*(1+'Fane 15. Nøgletal'!C10)</f>
        <v>23359328.024511304</v>
      </c>
      <c r="H19" s="14" t="s">
        <v>3</v>
      </c>
      <c r="I19" s="1"/>
    </row>
    <row r="20" spans="1:9" x14ac:dyDescent="0.25">
      <c r="A20" s="1"/>
      <c r="B20" s="120" t="s">
        <v>245</v>
      </c>
      <c r="C20" s="121"/>
      <c r="D20" s="121"/>
      <c r="E20" s="121"/>
      <c r="F20" s="122"/>
      <c r="G20" s="9">
        <v>0</v>
      </c>
      <c r="H20" s="14" t="s">
        <v>3</v>
      </c>
      <c r="I20" s="1"/>
    </row>
    <row r="21" spans="1:9" x14ac:dyDescent="0.25">
      <c r="A21" s="1"/>
      <c r="B21" s="117" t="s">
        <v>43</v>
      </c>
      <c r="C21" s="118"/>
      <c r="D21" s="118"/>
      <c r="E21" s="118"/>
      <c r="F21" s="119"/>
      <c r="G21" s="23">
        <f>SUM(G19:G20)*'Fane 15. Nøgletal'!C33</f>
        <v>467186.56049022608</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14" t="s">
        <v>49</v>
      </c>
      <c r="C24" s="115"/>
      <c r="D24" s="115"/>
      <c r="E24" s="115"/>
      <c r="F24" s="115"/>
      <c r="G24" s="115"/>
      <c r="H24" s="116"/>
      <c r="I24" s="1"/>
    </row>
    <row r="25" spans="1:9" x14ac:dyDescent="0.25">
      <c r="A25" s="1"/>
      <c r="B25" s="117" t="s">
        <v>44</v>
      </c>
      <c r="C25" s="118"/>
      <c r="D25" s="118"/>
      <c r="E25" s="118"/>
      <c r="F25" s="119"/>
      <c r="G25" s="23">
        <f>(G19+G20-G21)*(1+'Fane 15. Nøgletal'!C12)</f>
        <v>23343116.650862295</v>
      </c>
      <c r="H25" s="14" t="s">
        <v>3</v>
      </c>
      <c r="I25" s="1"/>
    </row>
    <row r="26" spans="1:9" x14ac:dyDescent="0.25">
      <c r="A26" s="1"/>
      <c r="B26" s="120" t="s">
        <v>246</v>
      </c>
      <c r="C26" s="121"/>
      <c r="D26" s="121"/>
      <c r="E26" s="121"/>
      <c r="F26" s="122"/>
      <c r="G26" s="9">
        <v>430810.20038925001</v>
      </c>
      <c r="H26" s="14" t="s">
        <v>3</v>
      </c>
      <c r="I26" s="1"/>
    </row>
    <row r="27" spans="1:9" x14ac:dyDescent="0.25">
      <c r="A27" s="1"/>
      <c r="B27" s="117" t="s">
        <v>45</v>
      </c>
      <c r="C27" s="118"/>
      <c r="D27" s="118"/>
      <c r="E27" s="118"/>
      <c r="F27" s="119"/>
      <c r="G27" s="23">
        <f>(G25+G26)*'Fane 15. Nøgletal'!C33</f>
        <v>475478.53702503094</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14" t="s">
        <v>52</v>
      </c>
      <c r="C30" s="115"/>
      <c r="D30" s="115"/>
      <c r="E30" s="115"/>
      <c r="F30" s="115"/>
      <c r="G30" s="115"/>
      <c r="H30" s="116"/>
      <c r="I30" s="1"/>
    </row>
    <row r="31" spans="1:9" x14ac:dyDescent="0.25">
      <c r="A31" s="1"/>
      <c r="B31" s="117" t="s">
        <v>53</v>
      </c>
      <c r="C31" s="118"/>
      <c r="D31" s="118"/>
      <c r="E31" s="118"/>
      <c r="F31" s="119"/>
      <c r="G31" s="23">
        <f>(G25+G26-G27)*(1+'Fane 15. Nøgletal'!C12)</f>
        <v>23757427.746016778</v>
      </c>
      <c r="H31" s="14" t="s">
        <v>3</v>
      </c>
      <c r="I31" s="1"/>
    </row>
    <row r="32" spans="1:9" x14ac:dyDescent="0.25">
      <c r="A32" s="1"/>
      <c r="B32" s="117" t="s">
        <v>243</v>
      </c>
      <c r="C32" s="118"/>
      <c r="D32" s="118"/>
      <c r="E32" s="118"/>
      <c r="F32" s="119"/>
      <c r="G32" s="23">
        <v>53645.377262399998</v>
      </c>
      <c r="H32" s="14" t="s">
        <v>3</v>
      </c>
      <c r="I32" s="1"/>
    </row>
    <row r="33" spans="1:9" x14ac:dyDescent="0.25">
      <c r="A33" s="1"/>
      <c r="B33" s="117" t="s">
        <v>54</v>
      </c>
      <c r="C33" s="118"/>
      <c r="D33" s="118"/>
      <c r="E33" s="118"/>
      <c r="F33" s="119"/>
      <c r="G33" s="23">
        <f>(G31+G32)*'Fane 15. Nøgletal'!C33</f>
        <v>476221.46246558352</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14" t="s">
        <v>126</v>
      </c>
      <c r="C36" s="115"/>
      <c r="D36" s="115"/>
      <c r="E36" s="115"/>
      <c r="F36" s="115"/>
      <c r="G36" s="115"/>
      <c r="H36" s="116"/>
      <c r="I36" s="1"/>
    </row>
    <row r="37" spans="1:9" x14ac:dyDescent="0.25">
      <c r="A37" s="1"/>
      <c r="B37" s="117" t="s">
        <v>68</v>
      </c>
      <c r="C37" s="118"/>
      <c r="D37" s="118"/>
      <c r="E37" s="118"/>
      <c r="F37" s="119"/>
      <c r="G37" s="23">
        <f>(G31+G32-G33)*(1+'Fane 15. Nøgletal'!C14)</f>
        <v>23411856.671294279</v>
      </c>
      <c r="H37" s="14" t="s">
        <v>3</v>
      </c>
      <c r="I37" s="1"/>
    </row>
    <row r="38" spans="1:9" x14ac:dyDescent="0.25">
      <c r="A38" s="1"/>
      <c r="B38" s="117" t="s">
        <v>242</v>
      </c>
      <c r="C38" s="118"/>
      <c r="D38" s="118"/>
      <c r="E38" s="118"/>
      <c r="F38" s="119"/>
      <c r="G38" s="23">
        <v>265977.80207559001</v>
      </c>
      <c r="H38" s="14" t="s">
        <v>3</v>
      </c>
      <c r="I38" s="1"/>
    </row>
    <row r="39" spans="1:9" x14ac:dyDescent="0.25">
      <c r="A39" s="1"/>
      <c r="B39" s="117" t="s">
        <v>128</v>
      </c>
      <c r="C39" s="118"/>
      <c r="D39" s="118"/>
      <c r="E39" s="118"/>
      <c r="F39" s="119"/>
      <c r="G39" s="23">
        <f>(G37+G38)*'Fane 15. Nøgletal'!C33</f>
        <v>473556.6894673974</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14" t="s">
        <v>127</v>
      </c>
      <c r="C42" s="115"/>
      <c r="D42" s="115"/>
      <c r="E42" s="115"/>
      <c r="F42" s="115"/>
      <c r="G42" s="115"/>
      <c r="H42" s="116"/>
      <c r="I42" s="1"/>
    </row>
    <row r="43" spans="1:9" x14ac:dyDescent="0.25">
      <c r="A43" s="1"/>
      <c r="B43" s="117" t="s">
        <v>155</v>
      </c>
      <c r="C43" s="118"/>
      <c r="D43" s="118"/>
      <c r="E43" s="118"/>
      <c r="F43" s="119"/>
      <c r="G43" s="23">
        <f>(G37+G38-G39)*(1+'Fane 15. Nøgletal'!C14)</f>
        <v>23280851.900589354</v>
      </c>
      <c r="H43" s="14" t="s">
        <v>3</v>
      </c>
      <c r="I43" s="1"/>
    </row>
    <row r="44" spans="1:9" x14ac:dyDescent="0.25">
      <c r="A44" s="1"/>
      <c r="B44" s="123" t="s">
        <v>157</v>
      </c>
      <c r="C44" s="124"/>
      <c r="D44" s="124"/>
      <c r="E44" s="124"/>
      <c r="F44" s="125"/>
      <c r="G44" s="45">
        <v>276373.76620464004</v>
      </c>
      <c r="H44" s="14" t="s">
        <v>3</v>
      </c>
      <c r="I44" s="1"/>
    </row>
    <row r="45" spans="1:9" x14ac:dyDescent="0.25">
      <c r="A45" s="1"/>
      <c r="B45" s="117" t="s">
        <v>129</v>
      </c>
      <c r="C45" s="118"/>
      <c r="D45" s="118"/>
      <c r="E45" s="118"/>
      <c r="F45" s="119"/>
      <c r="G45" s="23">
        <f>SUM(G43:G44)*'Fane 15. Nøgletal'!C33</f>
        <v>471144.51333587989</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14" t="s">
        <v>192</v>
      </c>
      <c r="C51" s="115"/>
      <c r="D51" s="115"/>
      <c r="E51" s="115"/>
      <c r="F51" s="115"/>
      <c r="G51" s="115"/>
      <c r="H51" s="116"/>
      <c r="I51" s="1"/>
    </row>
    <row r="52" spans="1:9" x14ac:dyDescent="0.25">
      <c r="A52" s="1"/>
      <c r="B52" s="117" t="s">
        <v>154</v>
      </c>
      <c r="C52" s="118"/>
      <c r="D52" s="118"/>
      <c r="E52" s="118"/>
      <c r="F52" s="119"/>
      <c r="G52" s="23">
        <f>(G43+G44-G45)*(1+'Fane 15. Nøgletal'!C16)</f>
        <v>24951436.51065753</v>
      </c>
      <c r="H52" s="14" t="s">
        <v>3</v>
      </c>
      <c r="I52" s="1"/>
    </row>
    <row r="53" spans="1:9" x14ac:dyDescent="0.25">
      <c r="A53" s="1"/>
      <c r="B53" s="74" t="s">
        <v>194</v>
      </c>
      <c r="C53" s="75"/>
      <c r="D53" s="75"/>
      <c r="E53" s="75"/>
      <c r="F53" s="76"/>
      <c r="G53" s="23">
        <f>('Fane 2.1. Økonomisk ramme 2024'!C10+'Fane 2.1. Økonomisk ramme 2024'!C12+'Fane 2.1. Økonomisk ramme 2024'!C14)*(1+'Fane 15. Nøgletal'!C16)</f>
        <v>888589.61580479995</v>
      </c>
      <c r="H53" s="14" t="s">
        <v>3</v>
      </c>
      <c r="I53" s="1"/>
    </row>
    <row r="54" spans="1:9" x14ac:dyDescent="0.25">
      <c r="A54" s="1"/>
      <c r="B54" s="117" t="s">
        <v>210</v>
      </c>
      <c r="C54" s="118"/>
      <c r="D54" s="118"/>
      <c r="E54" s="118"/>
      <c r="F54" s="119"/>
      <c r="G54" s="23">
        <f>(G52)*'Fane 15. Nøgletal'!C33+(G53)*'Fane 15. Nøgletal'!C33</f>
        <v>516800.52252924663</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14" t="s">
        <v>193</v>
      </c>
      <c r="C57" s="115"/>
      <c r="D57" s="115"/>
      <c r="E57" s="115"/>
      <c r="F57" s="115"/>
      <c r="G57" s="115"/>
      <c r="H57" s="116"/>
      <c r="I57" s="1"/>
    </row>
    <row r="58" spans="1:9" x14ac:dyDescent="0.25">
      <c r="A58" s="1"/>
      <c r="B58" s="74" t="s">
        <v>212</v>
      </c>
      <c r="C58" s="75"/>
      <c r="D58" s="75"/>
      <c r="E58" s="75"/>
      <c r="F58" s="76"/>
      <c r="G58" s="23">
        <f>(G52+G53-G54)*(1+'Fane 15. Nøgletal'!C16)</f>
        <v>27369342.232730873</v>
      </c>
      <c r="H58" s="14" t="s">
        <v>3</v>
      </c>
      <c r="I58" s="1"/>
    </row>
    <row r="59" spans="1:9" x14ac:dyDescent="0.25">
      <c r="A59" s="1"/>
      <c r="B59" s="74" t="s">
        <v>211</v>
      </c>
      <c r="C59" s="75"/>
      <c r="D59" s="75"/>
      <c r="E59" s="75"/>
      <c r="F59" s="76"/>
      <c r="G59" s="23">
        <f>(G58)*'Fane 15. Nøgletal'!C33</f>
        <v>547386.84465461748</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14" t="s">
        <v>257</v>
      </c>
      <c r="C62" s="115"/>
      <c r="D62" s="115"/>
      <c r="E62" s="115"/>
      <c r="F62" s="115"/>
      <c r="G62" s="115"/>
      <c r="H62" s="116"/>
      <c r="I62" s="1"/>
    </row>
    <row r="63" spans="1:9" x14ac:dyDescent="0.25">
      <c r="A63" s="1"/>
      <c r="B63" s="74" t="s">
        <v>213</v>
      </c>
      <c r="C63" s="75"/>
      <c r="D63" s="75"/>
      <c r="E63" s="75"/>
      <c r="F63" s="76"/>
      <c r="G63" s="23">
        <f>(G58-G59)*(1+'Fane 15. Nøgletal'!C16)</f>
        <v>28989169.383432817</v>
      </c>
      <c r="H63" s="14" t="s">
        <v>3</v>
      </c>
      <c r="I63" s="1"/>
    </row>
    <row r="64" spans="1:9" x14ac:dyDescent="0.25">
      <c r="A64" s="1"/>
      <c r="B64" s="74" t="s">
        <v>214</v>
      </c>
      <c r="C64" s="75"/>
      <c r="D64" s="75"/>
      <c r="E64" s="75"/>
      <c r="F64" s="76"/>
      <c r="G64" s="23">
        <f>(G63)*'Fane 15. Nøgletal'!C33</f>
        <v>579783.3876686563</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14" t="s">
        <v>258</v>
      </c>
      <c r="C67" s="115"/>
      <c r="D67" s="115"/>
      <c r="E67" s="115"/>
      <c r="F67" s="115"/>
      <c r="G67" s="115"/>
      <c r="H67" s="116"/>
      <c r="I67" s="1"/>
    </row>
    <row r="68" spans="1:9" x14ac:dyDescent="0.25">
      <c r="A68" s="1"/>
      <c r="B68" s="74" t="s">
        <v>213</v>
      </c>
      <c r="C68" s="75"/>
      <c r="D68" s="75"/>
      <c r="E68" s="75"/>
      <c r="F68" s="76"/>
      <c r="G68" s="23">
        <f>(G63-G64)*(1+'Fane 15. Nøgletal'!C16)</f>
        <v>30704864.384221904</v>
      </c>
      <c r="H68" s="14" t="s">
        <v>3</v>
      </c>
      <c r="I68" s="1"/>
    </row>
    <row r="69" spans="1:9" x14ac:dyDescent="0.25">
      <c r="A69" s="1"/>
      <c r="B69" s="74" t="s">
        <v>214</v>
      </c>
      <c r="C69" s="75"/>
      <c r="D69" s="75"/>
      <c r="E69" s="75"/>
      <c r="F69" s="76"/>
      <c r="G69" s="23">
        <f>(G68)*'Fane 15. Nøgletal'!C33</f>
        <v>614097.28768443805</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fKSBgNjm+FzZjeEriks2xGREAwXWhwLjQ1cD8WCyfI32G9smxSpTny5dFMdFmi/6X0Acy0yQ2FyZMNPVOL08VA==" saltValue="/av7XbTOuzq27IS4G3QoqA=="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26" t="s">
        <v>92</v>
      </c>
      <c r="C1" s="126"/>
      <c r="D1" s="126"/>
      <c r="E1" s="126"/>
      <c r="F1" s="126"/>
      <c r="G1" s="126"/>
      <c r="H1" s="126"/>
      <c r="I1" s="1"/>
    </row>
    <row r="2" spans="1:9" ht="15" customHeight="1" x14ac:dyDescent="0.25">
      <c r="A2" s="1"/>
      <c r="B2" s="126"/>
      <c r="C2" s="126"/>
      <c r="D2" s="126"/>
      <c r="E2" s="126"/>
      <c r="F2" s="126"/>
      <c r="G2" s="126"/>
      <c r="H2" s="126"/>
      <c r="I2" s="1"/>
    </row>
    <row r="3" spans="1:9" ht="15" customHeight="1" x14ac:dyDescent="0.25">
      <c r="A3" s="1"/>
      <c r="B3" s="127"/>
      <c r="C3" s="127"/>
      <c r="D3" s="127"/>
      <c r="E3" s="127"/>
      <c r="F3" s="127"/>
      <c r="G3" s="127"/>
      <c r="H3" s="127"/>
      <c r="I3" s="1"/>
    </row>
    <row r="4" spans="1:9" x14ac:dyDescent="0.25">
      <c r="A4" s="1"/>
      <c r="B4" s="114" t="s">
        <v>50</v>
      </c>
      <c r="C4" s="115"/>
      <c r="D4" s="115"/>
      <c r="E4" s="115"/>
      <c r="F4" s="115"/>
      <c r="G4" s="115"/>
      <c r="H4" s="116"/>
      <c r="I4" s="1"/>
    </row>
    <row r="5" spans="1:9" x14ac:dyDescent="0.25">
      <c r="A5" s="1"/>
      <c r="B5" s="117" t="s">
        <v>55</v>
      </c>
      <c r="C5" s="118"/>
      <c r="D5" s="118"/>
      <c r="E5" s="118"/>
      <c r="F5" s="119"/>
      <c r="G5" s="85">
        <v>0</v>
      </c>
      <c r="H5" s="14" t="s">
        <v>3</v>
      </c>
      <c r="I5" s="1"/>
    </row>
    <row r="6" spans="1:9" x14ac:dyDescent="0.25">
      <c r="A6" s="1"/>
      <c r="B6" s="117" t="s">
        <v>51</v>
      </c>
      <c r="C6" s="118"/>
      <c r="D6" s="118"/>
      <c r="E6" s="118"/>
      <c r="F6" s="119"/>
      <c r="G6" s="85">
        <v>0</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14" t="s">
        <v>56</v>
      </c>
      <c r="C9" s="115"/>
      <c r="D9" s="115"/>
      <c r="E9" s="115"/>
      <c r="F9" s="115"/>
      <c r="G9" s="115"/>
      <c r="H9" s="116"/>
      <c r="I9" s="1"/>
    </row>
    <row r="10" spans="1:9" x14ac:dyDescent="0.25">
      <c r="A10" s="1"/>
      <c r="B10" s="117" t="s">
        <v>57</v>
      </c>
      <c r="C10" s="118"/>
      <c r="D10" s="118"/>
      <c r="E10" s="118"/>
      <c r="F10" s="119"/>
      <c r="G10" s="85">
        <v>0</v>
      </c>
      <c r="H10" s="14" t="s">
        <v>3</v>
      </c>
      <c r="I10" s="1"/>
    </row>
    <row r="11" spans="1:9" x14ac:dyDescent="0.25">
      <c r="A11" s="1"/>
      <c r="B11" s="117" t="s">
        <v>104</v>
      </c>
      <c r="C11" s="118"/>
      <c r="D11" s="118"/>
      <c r="E11" s="118"/>
      <c r="F11" s="119"/>
      <c r="G11" s="85">
        <v>0</v>
      </c>
      <c r="H11" s="14" t="s">
        <v>3</v>
      </c>
      <c r="I11" s="1"/>
    </row>
    <row r="12" spans="1:9" x14ac:dyDescent="0.25">
      <c r="A12" s="1"/>
      <c r="B12" s="120" t="s">
        <v>247</v>
      </c>
      <c r="C12" s="121"/>
      <c r="D12" s="121"/>
      <c r="E12" s="121"/>
      <c r="F12" s="122"/>
      <c r="G12" s="85">
        <v>0</v>
      </c>
      <c r="H12" s="14" t="s">
        <v>3</v>
      </c>
      <c r="I12" s="1"/>
    </row>
    <row r="13" spans="1:9" x14ac:dyDescent="0.25">
      <c r="A13" s="1"/>
      <c r="B13" s="117" t="s">
        <v>58</v>
      </c>
      <c r="C13" s="118"/>
      <c r="D13" s="118"/>
      <c r="E13" s="118"/>
      <c r="F13" s="119"/>
      <c r="G13" s="85">
        <v>0</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14" t="s">
        <v>59</v>
      </c>
      <c r="C16" s="115"/>
      <c r="D16" s="115"/>
      <c r="E16" s="115"/>
      <c r="F16" s="115"/>
      <c r="G16" s="115"/>
      <c r="H16" s="116"/>
      <c r="I16" s="1"/>
    </row>
    <row r="17" spans="1:9" x14ac:dyDescent="0.25">
      <c r="A17" s="1"/>
      <c r="B17" s="117" t="s">
        <v>60</v>
      </c>
      <c r="C17" s="118"/>
      <c r="D17" s="118"/>
      <c r="E17" s="118"/>
      <c r="F17" s="119"/>
      <c r="G17" s="85">
        <v>0</v>
      </c>
      <c r="H17" s="14" t="s">
        <v>3</v>
      </c>
      <c r="I17" s="1"/>
    </row>
    <row r="18" spans="1:9" x14ac:dyDescent="0.25">
      <c r="A18" s="1"/>
      <c r="B18" s="120" t="s">
        <v>248</v>
      </c>
      <c r="C18" s="121"/>
      <c r="D18" s="121"/>
      <c r="E18" s="121"/>
      <c r="F18" s="122"/>
      <c r="G18" s="85">
        <v>0</v>
      </c>
      <c r="H18" s="14" t="s">
        <v>3</v>
      </c>
      <c r="I18" s="1"/>
    </row>
    <row r="19" spans="1:9" x14ac:dyDescent="0.25">
      <c r="A19" s="1"/>
      <c r="B19" s="117" t="s">
        <v>61</v>
      </c>
      <c r="C19" s="118"/>
      <c r="D19" s="118"/>
      <c r="E19" s="118"/>
      <c r="F19" s="119"/>
      <c r="G19" s="85">
        <v>0</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14" t="s">
        <v>62</v>
      </c>
      <c r="C22" s="115"/>
      <c r="D22" s="115"/>
      <c r="E22" s="115"/>
      <c r="F22" s="115"/>
      <c r="G22" s="115"/>
      <c r="H22" s="116"/>
      <c r="I22" s="1"/>
    </row>
    <row r="23" spans="1:9" x14ac:dyDescent="0.25">
      <c r="A23" s="1"/>
      <c r="B23" s="117" t="s">
        <v>63</v>
      </c>
      <c r="C23" s="118"/>
      <c r="D23" s="118"/>
      <c r="E23" s="118"/>
      <c r="F23" s="119"/>
      <c r="G23" s="85">
        <v>0</v>
      </c>
      <c r="H23" s="14" t="s">
        <v>3</v>
      </c>
      <c r="I23" s="1"/>
    </row>
    <row r="24" spans="1:9" x14ac:dyDescent="0.25">
      <c r="A24" s="1"/>
      <c r="B24" s="120" t="s">
        <v>249</v>
      </c>
      <c r="C24" s="121"/>
      <c r="D24" s="121"/>
      <c r="E24" s="121"/>
      <c r="F24" s="122"/>
      <c r="G24" s="85">
        <v>0</v>
      </c>
      <c r="H24" s="14" t="s">
        <v>3</v>
      </c>
      <c r="I24" s="1"/>
    </row>
    <row r="25" spans="1:9" x14ac:dyDescent="0.25">
      <c r="A25" s="1"/>
      <c r="B25" s="117" t="s">
        <v>64</v>
      </c>
      <c r="C25" s="118"/>
      <c r="D25" s="118"/>
      <c r="E25" s="118"/>
      <c r="F25" s="119"/>
      <c r="G25" s="85">
        <v>0</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14" t="s">
        <v>65</v>
      </c>
      <c r="C28" s="115"/>
      <c r="D28" s="115"/>
      <c r="E28" s="115"/>
      <c r="F28" s="115"/>
      <c r="G28" s="115"/>
      <c r="H28" s="116"/>
      <c r="I28" s="1"/>
    </row>
    <row r="29" spans="1:9" x14ac:dyDescent="0.25">
      <c r="A29" s="1"/>
      <c r="B29" s="117" t="s">
        <v>66</v>
      </c>
      <c r="C29" s="118"/>
      <c r="D29" s="118"/>
      <c r="E29" s="118"/>
      <c r="F29" s="119"/>
      <c r="G29" s="85">
        <v>0</v>
      </c>
      <c r="H29" s="14" t="s">
        <v>3</v>
      </c>
      <c r="I29" s="1"/>
    </row>
    <row r="30" spans="1:9" x14ac:dyDescent="0.25">
      <c r="A30" s="1"/>
      <c r="B30" s="117" t="s">
        <v>250</v>
      </c>
      <c r="C30" s="118"/>
      <c r="D30" s="118"/>
      <c r="E30" s="118"/>
      <c r="F30" s="119"/>
      <c r="G30" s="85">
        <v>0</v>
      </c>
      <c r="H30" s="14" t="s">
        <v>3</v>
      </c>
      <c r="I30" s="1"/>
    </row>
    <row r="31" spans="1:9" x14ac:dyDescent="0.25">
      <c r="A31" s="1"/>
      <c r="B31" s="117" t="s">
        <v>67</v>
      </c>
      <c r="C31" s="118"/>
      <c r="D31" s="118"/>
      <c r="E31" s="118"/>
      <c r="F31" s="119"/>
      <c r="G31" s="85">
        <v>0</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14" t="s">
        <v>130</v>
      </c>
      <c r="C34" s="115"/>
      <c r="D34" s="115"/>
      <c r="E34" s="115"/>
      <c r="F34" s="115"/>
      <c r="G34" s="115"/>
      <c r="H34" s="116"/>
      <c r="I34" s="1"/>
    </row>
    <row r="35" spans="1:9" x14ac:dyDescent="0.25">
      <c r="A35" s="1"/>
      <c r="B35" s="117" t="s">
        <v>215</v>
      </c>
      <c r="C35" s="118"/>
      <c r="D35" s="118"/>
      <c r="E35" s="118"/>
      <c r="F35" s="119"/>
      <c r="G35" s="85">
        <v>0</v>
      </c>
      <c r="H35" s="14" t="s">
        <v>3</v>
      </c>
      <c r="I35" s="1"/>
    </row>
    <row r="36" spans="1:9" x14ac:dyDescent="0.25">
      <c r="A36" s="1"/>
      <c r="B36" s="117" t="s">
        <v>251</v>
      </c>
      <c r="C36" s="118"/>
      <c r="D36" s="118"/>
      <c r="E36" s="118"/>
      <c r="F36" s="119"/>
      <c r="G36" s="85">
        <v>0</v>
      </c>
      <c r="H36" s="14" t="s">
        <v>3</v>
      </c>
      <c r="I36" s="1"/>
    </row>
    <row r="37" spans="1:9" x14ac:dyDescent="0.25">
      <c r="A37" s="1"/>
      <c r="B37" s="117" t="s">
        <v>131</v>
      </c>
      <c r="C37" s="118"/>
      <c r="D37" s="118"/>
      <c r="E37" s="118"/>
      <c r="F37" s="119"/>
      <c r="G37" s="85">
        <v>0</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14" t="s">
        <v>151</v>
      </c>
      <c r="C40" s="115"/>
      <c r="D40" s="115"/>
      <c r="E40" s="115"/>
      <c r="F40" s="115"/>
      <c r="G40" s="115"/>
      <c r="H40" s="116"/>
      <c r="I40" s="1"/>
    </row>
    <row r="41" spans="1:9" x14ac:dyDescent="0.25">
      <c r="A41" s="1"/>
      <c r="B41" s="117" t="s">
        <v>216</v>
      </c>
      <c r="C41" s="118"/>
      <c r="D41" s="118"/>
      <c r="E41" s="118"/>
      <c r="F41" s="119"/>
      <c r="G41" s="85">
        <v>0</v>
      </c>
      <c r="H41" s="14" t="s">
        <v>3</v>
      </c>
      <c r="I41" s="1"/>
    </row>
    <row r="42" spans="1:9" x14ac:dyDescent="0.25">
      <c r="A42" s="1"/>
      <c r="B42" s="40" t="s">
        <v>156</v>
      </c>
      <c r="C42" s="75"/>
      <c r="D42" s="75"/>
      <c r="E42" s="75"/>
      <c r="F42" s="76"/>
      <c r="G42" s="85">
        <v>0</v>
      </c>
      <c r="H42" s="14" t="s">
        <v>3</v>
      </c>
      <c r="I42" s="1"/>
    </row>
    <row r="43" spans="1:9" x14ac:dyDescent="0.25">
      <c r="A43" s="1"/>
      <c r="B43" s="117" t="s">
        <v>132</v>
      </c>
      <c r="C43" s="118"/>
      <c r="D43" s="118"/>
      <c r="E43" s="118"/>
      <c r="F43" s="119"/>
      <c r="G43" s="85">
        <v>0</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14" t="s">
        <v>260</v>
      </c>
      <c r="C52" s="115"/>
      <c r="D52" s="115"/>
      <c r="E52" s="115"/>
      <c r="F52" s="115"/>
      <c r="G52" s="115"/>
      <c r="H52" s="116"/>
      <c r="I52" s="1"/>
    </row>
    <row r="53" spans="1:9" x14ac:dyDescent="0.25">
      <c r="A53" s="1"/>
      <c r="B53" s="117" t="s">
        <v>217</v>
      </c>
      <c r="C53" s="118"/>
      <c r="D53" s="118"/>
      <c r="E53" s="118"/>
      <c r="F53" s="119"/>
      <c r="G53" s="85">
        <v>0</v>
      </c>
      <c r="H53" s="14" t="s">
        <v>3</v>
      </c>
      <c r="I53" s="1"/>
    </row>
    <row r="54" spans="1:9" x14ac:dyDescent="0.25">
      <c r="A54" s="1"/>
      <c r="B54" s="74" t="s">
        <v>195</v>
      </c>
      <c r="C54" s="75"/>
      <c r="D54" s="75"/>
      <c r="E54" s="75"/>
      <c r="F54" s="76"/>
      <c r="G54" s="23">
        <f>('Fane 2.1. Økonomisk ramme 2024'!C11+'Fane 2.1. Økonomisk ramme 2024'!C13+'Fane 2.1. Økonomisk ramme 2024'!C15)*(1+'Fane 15. Nøgletal'!C16)</f>
        <v>1593639.3553068799</v>
      </c>
      <c r="H54" s="14" t="s">
        <v>3</v>
      </c>
      <c r="I54" s="1"/>
    </row>
    <row r="55" spans="1:9" x14ac:dyDescent="0.25">
      <c r="A55" s="1"/>
      <c r="B55" s="117" t="s">
        <v>218</v>
      </c>
      <c r="C55" s="118"/>
      <c r="D55" s="118"/>
      <c r="E55" s="118"/>
      <c r="F55" s="119"/>
      <c r="G55" s="85">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14" t="s">
        <v>259</v>
      </c>
      <c r="C58" s="115"/>
      <c r="D58" s="115"/>
      <c r="E58" s="115"/>
      <c r="F58" s="115"/>
      <c r="G58" s="115"/>
      <c r="H58" s="116"/>
      <c r="I58" s="1"/>
    </row>
    <row r="59" spans="1:9" x14ac:dyDescent="0.25">
      <c r="A59" s="1"/>
      <c r="B59" s="117" t="s">
        <v>219</v>
      </c>
      <c r="C59" s="118"/>
      <c r="D59" s="118"/>
      <c r="E59" s="118"/>
      <c r="F59" s="119"/>
      <c r="G59" s="23">
        <f>(G53+G54-G55)*(1+'Fane 15. Nøgletal'!C16)</f>
        <v>1722405.4152156757</v>
      </c>
      <c r="H59" s="14" t="s">
        <v>3</v>
      </c>
      <c r="I59" s="1"/>
    </row>
    <row r="60" spans="1:9" x14ac:dyDescent="0.25">
      <c r="A60" s="1"/>
      <c r="B60" s="117" t="s">
        <v>220</v>
      </c>
      <c r="C60" s="118"/>
      <c r="D60" s="118"/>
      <c r="E60" s="118"/>
      <c r="F60" s="119"/>
      <c r="G60" s="85">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14" t="s">
        <v>141</v>
      </c>
      <c r="C63" s="115"/>
      <c r="D63" s="115"/>
      <c r="E63" s="115"/>
      <c r="F63" s="115"/>
      <c r="G63" s="115"/>
      <c r="H63" s="116"/>
      <c r="I63" s="1"/>
    </row>
    <row r="64" spans="1:9" x14ac:dyDescent="0.25">
      <c r="A64" s="1"/>
      <c r="B64" s="117" t="s">
        <v>221</v>
      </c>
      <c r="C64" s="118"/>
      <c r="D64" s="118"/>
      <c r="E64" s="118"/>
      <c r="F64" s="119"/>
      <c r="G64" s="23">
        <f>(G59-G60)*(1+'Fane 15. Nøgletal'!C16)</f>
        <v>1861575.7727651023</v>
      </c>
      <c r="H64" s="14" t="s">
        <v>3</v>
      </c>
      <c r="I64" s="1"/>
    </row>
    <row r="65" spans="1:9" x14ac:dyDescent="0.25">
      <c r="A65" s="1"/>
      <c r="B65" s="117" t="s">
        <v>222</v>
      </c>
      <c r="C65" s="118"/>
      <c r="D65" s="118"/>
      <c r="E65" s="118"/>
      <c r="F65" s="119"/>
      <c r="G65" s="85">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14" t="s">
        <v>223</v>
      </c>
      <c r="C68" s="115"/>
      <c r="D68" s="115"/>
      <c r="E68" s="115"/>
      <c r="F68" s="115"/>
      <c r="G68" s="115"/>
      <c r="H68" s="116"/>
      <c r="I68" s="1"/>
    </row>
    <row r="69" spans="1:9" x14ac:dyDescent="0.25">
      <c r="A69" s="1"/>
      <c r="B69" s="117" t="s">
        <v>221</v>
      </c>
      <c r="C69" s="118"/>
      <c r="D69" s="118"/>
      <c r="E69" s="118"/>
      <c r="F69" s="119"/>
      <c r="G69" s="23">
        <f>(G64-G65)*(1+'Fane 15. Nøgletal'!C16)</f>
        <v>2011991.0952045226</v>
      </c>
      <c r="H69" s="14" t="s">
        <v>3</v>
      </c>
      <c r="I69" s="1"/>
    </row>
    <row r="70" spans="1:9" x14ac:dyDescent="0.25">
      <c r="A70" s="1"/>
      <c r="B70" s="117" t="s">
        <v>222</v>
      </c>
      <c r="C70" s="118"/>
      <c r="D70" s="118"/>
      <c r="E70" s="118"/>
      <c r="F70" s="119"/>
      <c r="G70" s="85">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XtBymRzein3fxCX8hpMoFJ08CpvodwVlFFqZQUnCZZh9w38q+6CmmVvlFMfC9Ona5/4Sz3AunLDoPHzA4RDR8Q==" saltValue="vBDyw/NVcf3lvk9DCAWucw=="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7" t="s">
        <v>76</v>
      </c>
      <c r="C3" s="107"/>
      <c r="D3" s="107"/>
      <c r="E3" s="107"/>
      <c r="F3" s="107"/>
      <c r="G3" s="107"/>
      <c r="H3" s="1"/>
    </row>
    <row r="4" spans="1:8" ht="15" customHeight="1" x14ac:dyDescent="0.25">
      <c r="A4" s="1"/>
      <c r="B4" s="107"/>
      <c r="C4" s="107"/>
      <c r="D4" s="107"/>
      <c r="E4" s="107"/>
      <c r="F4" s="107"/>
      <c r="G4" s="10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4" t="s">
        <v>10</v>
      </c>
      <c r="C8" s="115"/>
      <c r="D8" s="115"/>
      <c r="E8" s="115"/>
      <c r="F8" s="115"/>
      <c r="G8" s="116"/>
      <c r="H8" s="1"/>
    </row>
    <row r="9" spans="1:8" x14ac:dyDescent="0.25">
      <c r="A9" s="1"/>
      <c r="B9" s="117" t="s">
        <v>252</v>
      </c>
      <c r="C9" s="118"/>
      <c r="D9" s="118"/>
      <c r="E9" s="118"/>
      <c r="F9" s="119"/>
      <c r="G9" s="22">
        <v>0</v>
      </c>
      <c r="H9" s="1"/>
    </row>
    <row r="10" spans="1:8" x14ac:dyDescent="0.25">
      <c r="A10" s="1"/>
      <c r="B10" s="33"/>
      <c r="C10" s="28"/>
      <c r="D10" s="28"/>
      <c r="E10" s="28"/>
      <c r="F10" s="28"/>
      <c r="G10" s="19"/>
      <c r="H10" s="1"/>
    </row>
    <row r="11" spans="1:8" ht="33" customHeight="1" x14ac:dyDescent="0.25">
      <c r="A11" s="1"/>
      <c r="B11" s="128" t="s">
        <v>265</v>
      </c>
      <c r="C11" s="128"/>
      <c r="D11" s="128"/>
      <c r="E11" s="128"/>
      <c r="F11" s="128"/>
      <c r="G11" s="128"/>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3n3SJ6cTNnt6GbRnLPZ4t1gq49uZozFyeXOJT8EqxUuGpW2r9t4Y7L5gkZcuSvcSFqF47SfustIgr+HBQdpnDw==" saltValue="Hg8n5y7HdcSxZ9PmvXzPv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2023-09-12T06:39:58Z</dcterms:modified>
</cp:coreProperties>
</file>