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Tønder Spildevand AS (S09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5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14" i="39"/>
  <c r="C26" i="2" s="1"/>
  <c r="E14" i="39"/>
  <c r="C27" i="2" s="1"/>
  <c r="C22" i="39"/>
  <c r="C22" i="15" s="1"/>
  <c r="C22" i="22"/>
  <c r="C22" i="23"/>
  <c r="C23" i="22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2" i="37" s="1"/>
  <c r="C13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6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2" i="37" s="1"/>
  <c r="E13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<sst xmlns="http://schemas.openxmlformats.org/spreadsheetml/2006/main" count="708" uniqueCount="287">
  <si>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</si>
  <si>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</si>
  <si>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</si>
  <si>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</si>
  <si>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</si>
  <si>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</si>
  <si>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</si>
  <si>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</si>
  <si>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</si>
  <si>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</si>
  <si>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</si>
  <si>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</si>
  <si>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</si>
  <si>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</si>
  <si>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</si>
  <si>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</si>
  <si>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</si>
  <si>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</si>
  <si>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</si>
  <si>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</si>
  <si>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</si>
  <si>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</si>
  <si>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</si>
  <si>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</si>
  <si>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</si>
  <si>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</si>
  <si>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</si>
  <si>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</si>
  <si>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</si>
  <si>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</si>
  <si>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</si>
  <si>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</si>
  <si>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</si>
  <si>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</si>
  <si>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</si>
  <si>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</si>
  <si>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</si>
  <si>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</si>
  <si>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</si>
  <si>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</si>
  <si>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</si>
  <si>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</si>
  <si>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</si>
  <si>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</si>
  <si>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</si>
  <si>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</si>
  <si>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</si>
  <si>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</si>
  <si>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</si>
  <si>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</si>
  <si>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</si>
  <si>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</si>
  <si>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</si>
  <si>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</si>
  <si>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</si>
  <si>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</si>
  <si>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</si>
  <si>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</si>
  <si>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</si>
  <si>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</si>
  <si>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</si>
  <si>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</si>
  <si>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</si>
  <si>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</si>
  <si>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</si>
  <si>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</si>
  <si>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</si>
  <si>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</si>
  <si>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</si>
  <si>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</si>
  <si>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</si>
  <si>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</si>
  <si>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</si>
  <si>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</si>
  <si>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</si>
  <si>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</si>
  <si>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</si>
  <si>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</si>
  <si>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</si>
  <si>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</si>
  <si>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</si>
  <si>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</si>
  <si>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</si>
  <si>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</si>
  <si>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</si>
  <si>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</si>
  <si>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</si>
  <si>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</si>
  <si>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</si>
  <si>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</si>
  <si>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</si>
  <si>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</si>
  <si>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</si>
  <si>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</si>
  <si>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</si>
  <si>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</si>
  <si>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</si>
  <si>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</si>
  <si>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</si>
  <si>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</si>
  <si>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</si>
  <si>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</si>
  <si>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</si>
  <si>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</si>
  <si>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</si>
  <si>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</si>
  <si>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</si>
  <si>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</si>
  <si>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</si>
  <si>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</si>
  <si>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</si>
  <si>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</si>
  <si>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</si>
  <si>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</si>
  <si>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</si>
  <si>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</si>
  <si>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</si>
  <si>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</si>
  <si>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</si>
  <si>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</si>
  <si>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</si>
  <si>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</si>
  <si>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</si>
  <si>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</si>
  <si>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</si>
  <si>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</si>
  <si>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</si>
  <si>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</si>
  <si>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</si>
  <si>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</si>
  <si>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</si>
  <si>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</si>
  <si>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</si>
  <si>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</si>
  <si>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</si>
  <si>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</si>
  <si>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</si>
  <si>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</si>
  <si>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</si>
  <si>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</si>
  <si>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</si>
  <si>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</si>
  <si>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</si>
  <si>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</si>
  <si>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</si>
  <si>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</si>
  <si>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</si>
  <si>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</si>
  <si>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</si>
  <si>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</si>
  <si>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</si>
  <si>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</si>
  <si>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</si>
  <si>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</si>
  <si>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</si>
  <si>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</si>
  <si>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</si>
  <si>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</si>
  <si>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</si>
  <si>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</si>
  <si>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</si>
  <si>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</si>
  <si>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</si>
  <si>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</si>
  <si>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</si>
  <si>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</si>
  <si>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</si>
  <si>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</si>
  <si>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</si>
  <si>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</si>
  <si>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</si>
  <si>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</si>
  <si>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</si>
  <si>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</si>
  <si>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</si>
  <si>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</si>
  <si>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</si>
  <si>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</si>
  <si>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</si>
  <si>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</si>
  <si>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</si>
  <si>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</si>
  <si>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</si>
  <si>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</si>
  <si>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</si>
  <si>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</si>
  <si>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</si>
  <si>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</si>
  <si>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</si>
  <si>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</si>
  <si>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</si>
  <si>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</si>
  <si>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</si>
  <si>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</si>
  <si>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</si>
  <si>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</si>
  <si>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</si>
  <si>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</si>
  <si>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</si>
  <si>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</si>
  <si>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</si>
  <si>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</si>
  <si>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</si>
  <si>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</si>
  <si>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</si>
  <si>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</si>
  <si>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</si>
  <si>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</si>
  <si>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</si>
  <si>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</si>
  <si>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</si>
  <si>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</si>
  <si>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</si>
  <si>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</si>
  <si>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</si>
  <si>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</si>
  <si>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</si>
  <si>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</si>
  <si>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</si>
  <si>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</si>
  <si>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</si>
  <si>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</si>
  <si>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</si>
  <si>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</si>
  <si>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</si>
  <si>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</si>
  <si>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</si>
  <si>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</si>
  <si>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</si>
  <si>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</si>
  <si>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</si>
  <si>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</si>
  <si>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</si>
  <si>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</si>
  <si>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</si>
  <si>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</si>
  <si>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</si>
  <si>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</si>
  <si>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</si>
  <si>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</si>
  <si>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</si>
  <si>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</si>
  <si>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</si>
  <si>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</si>
  <si>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</si>
  <si>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</si>
  <si>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</si>
  <si>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</si>
  <si>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</si>
  <si>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</si>
  <si>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</si>
  <si>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</si>
  <si>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</si>
  <si>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</si>
  <si>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</si>
  <si>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</si>
  <si>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</si>
  <si>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</si>
  <si>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</si>
  <si>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</si>
  <si>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</si>
  <si>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</si>
  <si>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</si>
  <si>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</si>
  <si>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</si>
  <si>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</si>
  <si>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Erstatninger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</si>
  <si>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</si>
  <si>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</si>
  <si>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</si>
  <si>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</si>
  <si>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</si>
  <si>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</si>
  <si>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</si>
  <si>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</si>
  <si>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</si>
  <si>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</si>
  <si>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</si>
  <si>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</si>
  <si>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</si>
  <si>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Udvidelser af forsyningsområde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</si>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</sst>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2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25">
      <c r="A8" s="1"/>
      <c r="B8" s="1"/>
      <c r="C8" s="4"/>
      <c r="D8" s="79" t="s">
        <v>285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2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2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2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2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2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2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2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2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2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rI4iEEHzqbmpVU3zWUKthhDGts01G74T5SplYYI/gUeNhsTNDZSNZjFWDD5/rjw0O/1jp/V8eStx63/2tAa2Q==" saltValue="GsU0dOxSw2EWEVy7PWHDT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20'!A1" display="Korrektion af den økonomiske ramme for 2020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6" t="s">
        <v>132</v>
      </c>
      <c r="C3" s="86"/>
      <c r="D3" s="86"/>
      <c r="E3" s="1"/>
      <c r="F3" s="1"/>
    </row>
    <row r="4" spans="1:6" ht="15" customHeight="1" x14ac:dyDescent="0.25">
      <c r="A4" s="1"/>
      <c r="B4" s="86"/>
      <c r="C4" s="86"/>
      <c r="D4" s="8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4" t="s">
        <v>208</v>
      </c>
      <c r="C8" s="95"/>
      <c r="D8" s="96"/>
      <c r="E8" s="1"/>
      <c r="F8" s="1"/>
    </row>
    <row r="9" spans="1:6" ht="15" customHeight="1" x14ac:dyDescent="0.2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25">
      <c r="A10" s="1"/>
      <c r="B10" s="64" t="s">
        <v>262</v>
      </c>
      <c r="C10" s="9">
        <v>2090387</v>
      </c>
      <c r="D10" s="14" t="s">
        <v>3</v>
      </c>
      <c r="E10" s="1"/>
      <c r="F10" s="1"/>
    </row>
    <row r="11" spans="1:6" ht="15" customHeight="1" x14ac:dyDescent="0.25">
      <c r="A11" s="1"/>
      <c r="B11" s="64" t="s">
        <v>263</v>
      </c>
      <c r="C11" s="9">
        <v>78535</v>
      </c>
      <c r="D11" s="14" t="s">
        <v>3</v>
      </c>
      <c r="E11" s="1"/>
      <c r="F11" s="1"/>
    </row>
    <row r="12" spans="1:6" x14ac:dyDescent="0.25">
      <c r="A12" s="1"/>
      <c r="B12" s="64" t="s">
        <v>264</v>
      </c>
      <c r="C12" s="9">
        <v>327765.48</v>
      </c>
      <c r="D12" s="14" t="s">
        <v>3</v>
      </c>
      <c r="E12" s="1"/>
      <c r="F12" s="1"/>
    </row>
    <row r="13" spans="1:6" x14ac:dyDescent="0.25">
      <c r="A13" s="1"/>
      <c r="B13" s="64" t="s">
        <v>265</v>
      </c>
      <c r="C13" s="9">
        <v>162675.74</v>
      </c>
      <c r="D13" s="14" t="s">
        <v>3</v>
      </c>
      <c r="E13" s="1"/>
      <c r="F13" s="1"/>
    </row>
    <row r="14" spans="1:6" x14ac:dyDescent="0.25">
      <c r="A14" s="1"/>
      <c r="B14" s="64" t="s">
        <v>266</v>
      </c>
      <c r="C14" s="9">
        <v>23909</v>
      </c>
      <c r="D14" s="14" t="s">
        <v>3</v>
      </c>
      <c r="E14" s="1"/>
      <c r="F14" s="1"/>
    </row>
    <row r="15" spans="1:6" x14ac:dyDescent="0.25">
      <c r="A15" s="1"/>
      <c r="B15" s="38" t="s">
        <v>209</v>
      </c>
      <c r="C15" s="12">
        <f>SUM(C10:C14)</f>
        <v>2683272.2199999997</v>
      </c>
      <c r="D15" s="13" t="s">
        <v>3</v>
      </c>
      <c r="E15" s="1"/>
      <c r="F15" s="1"/>
    </row>
    <row r="16" spans="1:6" x14ac:dyDescent="0.25">
      <c r="A16" s="1"/>
      <c r="B16" s="38" t="s">
        <v>210</v>
      </c>
      <c r="C16" s="12">
        <f>C15*(1+'Fane 14. Nøgletal'!C14)^2</f>
        <v>2701011.0374864759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4" t="s">
        <v>142</v>
      </c>
      <c r="C19" s="95"/>
      <c r="D19" s="96"/>
      <c r="E19" s="1"/>
      <c r="F19" s="1"/>
    </row>
    <row r="20" spans="1:6" x14ac:dyDescent="0.25">
      <c r="A20" s="1"/>
      <c r="B20" s="64" t="s">
        <v>116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64" t="s">
        <v>117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64" t="s">
        <v>154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64" t="s">
        <v>211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4"/>
      <c r="C24" s="95"/>
      <c r="D24" s="96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4" t="s">
        <v>115</v>
      </c>
      <c r="C27" s="95"/>
      <c r="D27" s="96"/>
      <c r="E27" s="1"/>
      <c r="F27" s="1"/>
    </row>
    <row r="28" spans="1:6" x14ac:dyDescent="0.25">
      <c r="A28" s="1"/>
      <c r="B28" s="64" t="s">
        <v>116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64" t="s">
        <v>117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64" t="s">
        <v>154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64" t="s">
        <v>211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4"/>
      <c r="C32" s="95"/>
      <c r="D32" s="96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PLyIM2luAZ+mBzaTZa7pFE+G8Ib/lbPkLPgW6oE1byIBxEN5vaFKPRH6dX+Z/zikTA39Q4tkT7A6+QzSDMV4/A==" saltValue="KqCyi5r0oWz4LwQEgmT9Gg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2.2851562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ht="15" customHeight="1" x14ac:dyDescent="0.25">
      <c r="A5" s="1"/>
      <c r="B5" s="52"/>
      <c r="C5" s="52"/>
      <c r="D5" s="52"/>
      <c r="E5" s="52"/>
      <c r="F5" s="52"/>
      <c r="G5" s="1"/>
    </row>
    <row r="6" spans="1:7" ht="15" customHeight="1" x14ac:dyDescent="0.25">
      <c r="A6" s="1"/>
      <c r="B6" s="52"/>
      <c r="C6" s="52"/>
      <c r="D6" s="52"/>
      <c r="E6" s="52"/>
      <c r="F6" s="52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268</v>
      </c>
      <c r="C8" s="95"/>
      <c r="D8" s="95"/>
      <c r="E8" s="95"/>
      <c r="F8" s="96"/>
      <c r="G8" s="1"/>
    </row>
    <row r="9" spans="1:7" x14ac:dyDescent="0.25">
      <c r="A9" s="1"/>
      <c r="B9" s="103" t="s">
        <v>269</v>
      </c>
      <c r="C9" s="104"/>
      <c r="D9" s="105"/>
      <c r="E9" s="9">
        <v>13866480.83107847</v>
      </c>
      <c r="F9" s="14" t="s">
        <v>3</v>
      </c>
      <c r="G9" s="1"/>
    </row>
    <row r="10" spans="1:7" x14ac:dyDescent="0.25">
      <c r="A10" s="1"/>
      <c r="B10" s="103" t="s">
        <v>270</v>
      </c>
      <c r="C10" s="104"/>
      <c r="D10" s="105"/>
      <c r="E10" s="9">
        <v>2762978.2584683448</v>
      </c>
      <c r="F10" s="14" t="s">
        <v>3</v>
      </c>
      <c r="G10" s="1"/>
    </row>
    <row r="11" spans="1:7" x14ac:dyDescent="0.25">
      <c r="A11" s="1"/>
      <c r="B11" s="103" t="s">
        <v>271</v>
      </c>
      <c r="C11" s="104"/>
      <c r="D11" s="105"/>
      <c r="E11" s="9">
        <v>0</v>
      </c>
      <c r="F11" s="14" t="s">
        <v>3</v>
      </c>
      <c r="G11" s="1"/>
    </row>
    <row r="12" spans="1:7" x14ac:dyDescent="0.25">
      <c r="A12" s="1"/>
      <c r="B12" s="103" t="s">
        <v>272</v>
      </c>
      <c r="C12" s="104"/>
      <c r="D12" s="105"/>
      <c r="E12" s="9">
        <v>13198723.709761396</v>
      </c>
      <c r="F12" s="14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51.75" customHeight="1" x14ac:dyDescent="0.25">
      <c r="A14" s="1"/>
      <c r="B14" s="97" t="s">
        <v>273</v>
      </c>
      <c r="C14" s="98"/>
      <c r="D14" s="98"/>
      <c r="E14" s="98"/>
      <c r="F14" s="99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274</v>
      </c>
      <c r="C16" s="95"/>
      <c r="D16" s="95"/>
      <c r="E16" s="95"/>
      <c r="F16" s="96"/>
      <c r="G16" s="1"/>
    </row>
    <row r="17" spans="1:7" x14ac:dyDescent="0.25">
      <c r="A17" s="1"/>
      <c r="B17" s="103" t="s">
        <v>275</v>
      </c>
      <c r="C17" s="104"/>
      <c r="D17" s="105"/>
      <c r="E17" s="9">
        <v>0</v>
      </c>
      <c r="F17" s="14" t="s">
        <v>3</v>
      </c>
      <c r="G17" s="1"/>
    </row>
    <row r="18" spans="1:7" x14ac:dyDescent="0.25">
      <c r="A18" s="1"/>
      <c r="B18" s="103" t="s">
        <v>276</v>
      </c>
      <c r="C18" s="104"/>
      <c r="D18" s="105"/>
      <c r="E18" s="9">
        <v>0</v>
      </c>
      <c r="F18" s="14" t="s">
        <v>3</v>
      </c>
      <c r="G18" s="1"/>
    </row>
    <row r="19" spans="1:7" x14ac:dyDescent="0.25">
      <c r="A19" s="1"/>
      <c r="B19" s="38"/>
      <c r="C19" s="32"/>
      <c r="D19" s="32"/>
      <c r="E19" s="32"/>
      <c r="F19" s="20"/>
      <c r="G19" s="1"/>
    </row>
    <row r="20" spans="1:7" ht="29.25" customHeight="1" x14ac:dyDescent="0.25">
      <c r="A20" s="1"/>
      <c r="B20" s="97" t="s">
        <v>277</v>
      </c>
      <c r="C20" s="98"/>
      <c r="D20" s="98"/>
      <c r="E20" s="98"/>
      <c r="F20" s="9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6" t="s">
        <v>213</v>
      </c>
      <c r="C22" s="57"/>
      <c r="D22" s="57"/>
      <c r="E22" s="57"/>
      <c r="F22" s="58"/>
      <c r="G22" s="1"/>
    </row>
    <row r="23" spans="1:7" x14ac:dyDescent="0.25">
      <c r="A23" s="1"/>
      <c r="B23" s="61" t="s">
        <v>214</v>
      </c>
      <c r="C23" s="62"/>
      <c r="D23" s="63"/>
      <c r="E23" s="9">
        <v>83044835.441740468</v>
      </c>
      <c r="F23" s="14" t="s">
        <v>3</v>
      </c>
      <c r="G23" s="1"/>
    </row>
    <row r="24" spans="1:7" x14ac:dyDescent="0.25">
      <c r="A24" s="1"/>
      <c r="B24" s="61" t="s">
        <v>215</v>
      </c>
      <c r="C24" s="62"/>
      <c r="D24" s="63"/>
      <c r="E24" s="9">
        <v>71625884.179999992</v>
      </c>
      <c r="F24" s="14" t="s">
        <v>3</v>
      </c>
      <c r="G24" s="1"/>
    </row>
    <row r="25" spans="1:7" x14ac:dyDescent="0.25">
      <c r="A25" s="1"/>
      <c r="B25" s="61" t="s">
        <v>36</v>
      </c>
      <c r="C25" s="62"/>
      <c r="D25" s="63"/>
      <c r="E25" s="9">
        <v>0</v>
      </c>
      <c r="F25" s="14" t="s">
        <v>3</v>
      </c>
      <c r="G25" s="1"/>
    </row>
    <row r="26" spans="1:7" x14ac:dyDescent="0.25">
      <c r="A26" s="1"/>
      <c r="B26" s="59" t="s">
        <v>278</v>
      </c>
      <c r="C26" s="60"/>
      <c r="D26" s="66"/>
      <c r="E26" s="48">
        <f>E23-(E24-E25)</f>
        <v>11418951.261740476</v>
      </c>
      <c r="F26" s="17" t="s">
        <v>3</v>
      </c>
      <c r="G26" s="1"/>
    </row>
    <row r="27" spans="1:7" x14ac:dyDescent="0.25">
      <c r="A27" s="1"/>
      <c r="B27" s="38"/>
      <c r="C27" s="32"/>
      <c r="D27" s="32"/>
      <c r="E27" s="32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94" t="s">
        <v>186</v>
      </c>
      <c r="C30" s="95"/>
      <c r="D30" s="95"/>
      <c r="E30" s="95"/>
      <c r="F30" s="96"/>
      <c r="G30" s="1"/>
    </row>
    <row r="31" spans="1:7" x14ac:dyDescent="0.25">
      <c r="A31" s="1"/>
      <c r="B31" s="119" t="s">
        <v>283</v>
      </c>
      <c r="C31" s="120"/>
      <c r="D31" s="121"/>
      <c r="E31" s="9">
        <v>3</v>
      </c>
      <c r="F31" s="14"/>
      <c r="G31" s="1"/>
    </row>
    <row r="32" spans="1:7" x14ac:dyDescent="0.25">
      <c r="A32" s="1"/>
      <c r="B32" s="119" t="s">
        <v>187</v>
      </c>
      <c r="C32" s="120"/>
      <c r="D32" s="121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25">
      <c r="A33" s="1"/>
      <c r="B33" s="119" t="s">
        <v>120</v>
      </c>
      <c r="C33" s="120"/>
      <c r="D33" s="121"/>
      <c r="E33" s="9">
        <v>2</v>
      </c>
      <c r="F33" s="14" t="s">
        <v>21</v>
      </c>
      <c r="G33" s="1"/>
    </row>
    <row r="34" spans="1:7" x14ac:dyDescent="0.25">
      <c r="A34" s="1"/>
      <c r="B34" s="115" t="s">
        <v>188</v>
      </c>
      <c r="C34" s="115"/>
      <c r="D34" s="115"/>
      <c r="E34" s="10">
        <f>E32/E33</f>
        <v>0</v>
      </c>
      <c r="F34" s="17" t="s">
        <v>3</v>
      </c>
      <c r="G34" s="1"/>
    </row>
    <row r="35" spans="1:7" x14ac:dyDescent="0.25">
      <c r="A35" s="1"/>
      <c r="B35" s="116"/>
      <c r="C35" s="117"/>
      <c r="D35" s="117"/>
      <c r="E35" s="117"/>
      <c r="F35" s="118"/>
      <c r="G35" s="1"/>
    </row>
    <row r="36" spans="1:7" ht="75" customHeight="1" x14ac:dyDescent="0.25">
      <c r="A36" s="1"/>
      <c r="B36" s="97" t="s">
        <v>282</v>
      </c>
      <c r="C36" s="98"/>
      <c r="D36" s="98"/>
      <c r="E36" s="98"/>
      <c r="F36" s="99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A65hHgMsWyUjIl6Ubip4QRjLQzk/haxG8z0b6XVlMtJRrSuzm8Ksd5sQmYmsdFGUBASulosyBf7HospXc9cc8A==" saltValue="kWwW7+KRF0tA7dB+wvERbQ==" spinCount="100000" sheet="1" objects="1" scenarios="1"/>
  <mergeCells count="18">
    <mergeCell ref="B34:D34"/>
    <mergeCell ref="B35:F35"/>
    <mergeCell ref="B36:F36"/>
    <mergeCell ref="B20:F20"/>
    <mergeCell ref="B30:F30"/>
    <mergeCell ref="B31:D31"/>
    <mergeCell ref="B32:D32"/>
    <mergeCell ref="B33:D33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4" t="s">
        <v>217</v>
      </c>
      <c r="C9" s="95"/>
      <c r="D9" s="95"/>
      <c r="E9" s="95"/>
      <c r="F9" s="96"/>
      <c r="G9" s="1"/>
    </row>
    <row r="10" spans="1:7" x14ac:dyDescent="0.25">
      <c r="A10" s="1"/>
      <c r="B10" s="97" t="s">
        <v>118</v>
      </c>
      <c r="C10" s="98"/>
      <c r="D10" s="99"/>
      <c r="E10" s="7">
        <v>5788774.8752421848</v>
      </c>
      <c r="F10" s="8" t="s">
        <v>3</v>
      </c>
      <c r="G10" s="1"/>
    </row>
    <row r="11" spans="1:7" x14ac:dyDescent="0.25">
      <c r="A11" s="1"/>
      <c r="B11" s="103" t="s">
        <v>218</v>
      </c>
      <c r="C11" s="104"/>
      <c r="D11" s="105"/>
      <c r="E11" s="7">
        <v>1302159</v>
      </c>
      <c r="F11" s="8" t="s">
        <v>3</v>
      </c>
      <c r="G11" s="1"/>
    </row>
    <row r="12" spans="1:7" x14ac:dyDescent="0.25">
      <c r="A12" s="1"/>
      <c r="B12" s="100" t="s">
        <v>119</v>
      </c>
      <c r="C12" s="101"/>
      <c r="D12" s="122"/>
      <c r="E12" s="10">
        <f>E11-E10</f>
        <v>-4486615.8752421848</v>
      </c>
      <c r="F12" s="11" t="s">
        <v>3</v>
      </c>
      <c r="G12" s="1"/>
    </row>
    <row r="13" spans="1:7" x14ac:dyDescent="0.25">
      <c r="A13" s="1"/>
      <c r="B13" s="94" t="s">
        <v>109</v>
      </c>
      <c r="C13" s="95"/>
      <c r="D13" s="95"/>
      <c r="E13" s="95"/>
      <c r="F13" s="96"/>
      <c r="G13" s="1"/>
    </row>
    <row r="14" spans="1:7" x14ac:dyDescent="0.2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2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2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221</v>
      </c>
      <c r="C17" s="32"/>
      <c r="D17" s="32"/>
      <c r="E17" s="12">
        <f>E12+E16</f>
        <v>-4486615.8752421848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EFT3CS8LfjF03plKSaTtT4G87JFH6D6DOthXJLthNGTxBVogVIN4baw2INcgIK5vdEPWCz7sf2D6a/nZ73y/Xg==" saltValue="DyVuYOjB7UqxzN1WgAit7g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25">
      <c r="A10" s="1"/>
      <c r="B10" s="67" t="s">
        <v>284</v>
      </c>
      <c r="C10" s="49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ivYOrt9SZjZKeKwZQ1/GQvn7/DYl3qe0nEq8AFYX0OO9qllaU+4+9Y+mb50c5Nx8xVDw0DkleKY/6Mh1n0zdw==" saltValue="CG/ns+XoHyVujQloqt/Xi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47" t="s">
        <v>280</v>
      </c>
      <c r="C11" s="22">
        <v>53667</v>
      </c>
      <c r="D11" s="14" t="s">
        <v>3</v>
      </c>
      <c r="E11" s="9">
        <v>79198</v>
      </c>
      <c r="F11" s="14" t="s">
        <v>3</v>
      </c>
      <c r="G11" s="1"/>
    </row>
    <row r="12" spans="1:7" x14ac:dyDescent="0.25">
      <c r="A12" s="1"/>
      <c r="B12" s="38" t="s">
        <v>163</v>
      </c>
      <c r="C12" s="12">
        <f>SUM(C10:C11)</f>
        <v>53667</v>
      </c>
      <c r="D12" s="13" t="s">
        <v>3</v>
      </c>
      <c r="E12" s="12">
        <f>SUM(E10:E11)</f>
        <v>79198</v>
      </c>
      <c r="F12" s="13" t="s">
        <v>3</v>
      </c>
      <c r="G12" s="1"/>
    </row>
    <row r="13" spans="1:7" x14ac:dyDescent="0.25">
      <c r="A13" s="1"/>
      <c r="B13" s="38" t="s">
        <v>222</v>
      </c>
      <c r="C13" s="12">
        <f>C12*(1+'Fane 14. Nøgletal'!C14)</f>
        <v>53844.101100000007</v>
      </c>
      <c r="D13" s="13" t="s">
        <v>3</v>
      </c>
      <c r="E13" s="12">
        <f>E12*(1+'Fane 14. Nøgletal'!C14)</f>
        <v>79459.353400000007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8sAqcvF9dx3v4LGhVfFlTBdUBCdpQfssCzi9diC5IkX1AG3N2SjwZabrl4vcFt9Pm/rujZLxni/wvysHv0Ifxw==" saltValue="z3FUpywVDir52XFBNNezV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112</v>
      </c>
      <c r="C8" s="95"/>
      <c r="D8" s="95"/>
      <c r="E8" s="95"/>
      <c r="F8" s="96"/>
      <c r="G8" s="1"/>
    </row>
    <row r="9" spans="1:7" x14ac:dyDescent="0.25">
      <c r="A9" s="1"/>
      <c r="B9" s="54" t="s">
        <v>18</v>
      </c>
      <c r="C9" s="54" t="s">
        <v>12</v>
      </c>
      <c r="D9" s="55"/>
      <c r="E9" s="54" t="s">
        <v>34</v>
      </c>
      <c r="F9" s="37"/>
      <c r="G9" s="1"/>
    </row>
    <row r="10" spans="1:7" x14ac:dyDescent="0.2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2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2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4" t="s">
        <v>113</v>
      </c>
      <c r="C16" s="95"/>
      <c r="D16" s="95"/>
      <c r="E16" s="95"/>
      <c r="F16" s="96"/>
      <c r="G16" s="1"/>
    </row>
    <row r="17" spans="1:7" x14ac:dyDescent="0.25">
      <c r="A17" s="1"/>
      <c r="B17" s="54" t="s">
        <v>18</v>
      </c>
      <c r="C17" s="54" t="s">
        <v>12</v>
      </c>
      <c r="D17" s="55"/>
      <c r="E17" s="54" t="s">
        <v>34</v>
      </c>
      <c r="F17" s="37"/>
      <c r="G17" s="1"/>
    </row>
    <row r="18" spans="1:7" x14ac:dyDescent="0.2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2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2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4" t="s">
        <v>166</v>
      </c>
      <c r="C24" s="95"/>
      <c r="D24" s="95"/>
      <c r="E24" s="95"/>
      <c r="F24" s="96"/>
      <c r="G24" s="1"/>
    </row>
    <row r="25" spans="1:7" x14ac:dyDescent="0.25">
      <c r="A25" s="1"/>
      <c r="B25" s="54" t="s">
        <v>18</v>
      </c>
      <c r="C25" s="54" t="s">
        <v>12</v>
      </c>
      <c r="D25" s="55"/>
      <c r="E25" s="54" t="s">
        <v>34</v>
      </c>
      <c r="F25" s="37"/>
      <c r="G25" s="1"/>
    </row>
    <row r="26" spans="1:7" x14ac:dyDescent="0.2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2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2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4" t="s">
        <v>224</v>
      </c>
      <c r="C32" s="95"/>
      <c r="D32" s="95"/>
      <c r="E32" s="95"/>
      <c r="F32" s="96"/>
      <c r="G32" s="1"/>
    </row>
    <row r="33" spans="1:7" x14ac:dyDescent="0.25">
      <c r="A33" s="1"/>
      <c r="B33" s="54" t="s">
        <v>18</v>
      </c>
      <c r="C33" s="54" t="s">
        <v>12</v>
      </c>
      <c r="D33" s="55"/>
      <c r="E33" s="54" t="s">
        <v>34</v>
      </c>
      <c r="F33" s="37"/>
      <c r="G33" s="1"/>
    </row>
    <row r="34" spans="1:7" x14ac:dyDescent="0.2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2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2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ta3Nan0CrQu4IZOyP8boA75P75MqjfG2N2TTPjalTIRlMUyPhBSBuyTQMSKLSp5h4VC60P5dtJZPAttIaqcqQ==" saltValue="DNkLipjtIXuKDskfCXF5mA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02"/>
      <c r="C5" s="102"/>
      <c r="D5" s="102"/>
      <c r="E5" s="102"/>
      <c r="F5" s="10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103</v>
      </c>
      <c r="C8" s="95"/>
      <c r="D8" s="95"/>
      <c r="E8" s="95"/>
      <c r="F8" s="96"/>
      <c r="G8" s="1"/>
    </row>
    <row r="9" spans="1:7" x14ac:dyDescent="0.25">
      <c r="A9" s="1"/>
      <c r="B9" s="123" t="s">
        <v>226</v>
      </c>
      <c r="C9" s="124"/>
      <c r="D9" s="125"/>
      <c r="E9" s="9">
        <v>3034576.3773865718</v>
      </c>
      <c r="F9" s="14" t="s">
        <v>3</v>
      </c>
      <c r="G9" s="1"/>
    </row>
    <row r="10" spans="1:7" x14ac:dyDescent="0.2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25">
      <c r="A11" s="1"/>
      <c r="B11" s="88" t="s">
        <v>26</v>
      </c>
      <c r="C11" s="89"/>
      <c r="D11" s="90"/>
      <c r="E11" s="9">
        <f>-E9*'Fane 14. Nøgletal'!C29</f>
        <v>-60691.527547731435</v>
      </c>
      <c r="F11" s="14" t="s">
        <v>3</v>
      </c>
      <c r="G11" s="1"/>
    </row>
    <row r="12" spans="1:7" x14ac:dyDescent="0.25">
      <c r="A12" s="1"/>
      <c r="B12" s="94" t="s">
        <v>105</v>
      </c>
      <c r="C12" s="95"/>
      <c r="D12" s="96"/>
      <c r="E12" s="12">
        <f>SUM(E9:E11)*(1+'Fane 14. Nøgletal'!C14)^2</f>
        <v>2993544.875453792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25">
      <c r="A15" s="1"/>
      <c r="B15" s="123" t="s">
        <v>226</v>
      </c>
      <c r="C15" s="124"/>
      <c r="D15" s="125"/>
      <c r="E15" s="9">
        <v>3034576.3773865718</v>
      </c>
      <c r="F15" s="14" t="s">
        <v>3</v>
      </c>
      <c r="G15" s="1"/>
    </row>
    <row r="16" spans="1:7" x14ac:dyDescent="0.2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25">
      <c r="A17" s="1"/>
      <c r="B17" s="88" t="s">
        <v>26</v>
      </c>
      <c r="C17" s="89"/>
      <c r="D17" s="90"/>
      <c r="E17" s="9">
        <f>-E15*'Fane 14. Nøgletal'!C29</f>
        <v>-60691.527547731435</v>
      </c>
      <c r="F17" s="14" t="s">
        <v>3</v>
      </c>
      <c r="G17" s="1"/>
    </row>
    <row r="18" spans="1:7" x14ac:dyDescent="0.25">
      <c r="A18" s="1"/>
      <c r="B18" s="94" t="s">
        <v>106</v>
      </c>
      <c r="C18" s="95"/>
      <c r="D18" s="96"/>
      <c r="E18" s="12">
        <f>SUM(E15:E17)*(1+'Fane 14. Nøgletal'!C14)^3</f>
        <v>3003423.5735427896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25">
      <c r="A21" s="1"/>
      <c r="B21" s="123" t="s">
        <v>226</v>
      </c>
      <c r="C21" s="124"/>
      <c r="D21" s="125"/>
      <c r="E21" s="9">
        <v>3034576.3773865718</v>
      </c>
      <c r="F21" s="14" t="s">
        <v>3</v>
      </c>
      <c r="G21" s="1"/>
    </row>
    <row r="22" spans="1:7" x14ac:dyDescent="0.2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25">
      <c r="A23" s="1"/>
      <c r="B23" s="88" t="s">
        <v>26</v>
      </c>
      <c r="C23" s="89"/>
      <c r="D23" s="90"/>
      <c r="E23" s="9">
        <f>-E21*'Fane 14. Nøgletal'!C29</f>
        <v>-60691.527547731435</v>
      </c>
      <c r="F23" s="14" t="s">
        <v>3</v>
      </c>
      <c r="G23" s="1"/>
    </row>
    <row r="24" spans="1:7" x14ac:dyDescent="0.25">
      <c r="A24" s="1"/>
      <c r="B24" s="94" t="s">
        <v>156</v>
      </c>
      <c r="C24" s="95"/>
      <c r="D24" s="96"/>
      <c r="E24" s="12">
        <f>SUM(E21:E23)*(1+'Fane 14. Nøgletal'!C14)^4</f>
        <v>3013334.8713354813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25">
      <c r="A27" s="1"/>
      <c r="B27" s="123" t="s">
        <v>226</v>
      </c>
      <c r="C27" s="124"/>
      <c r="D27" s="125"/>
      <c r="E27" s="9">
        <v>3034576.3773865718</v>
      </c>
      <c r="F27" s="14" t="s">
        <v>3</v>
      </c>
      <c r="G27" s="1"/>
    </row>
    <row r="28" spans="1:7" x14ac:dyDescent="0.2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25">
      <c r="A29" s="1"/>
      <c r="B29" s="88" t="s">
        <v>26</v>
      </c>
      <c r="C29" s="89"/>
      <c r="D29" s="90"/>
      <c r="E29" s="9">
        <f>-E27*'Fane 14. Nøgletal'!C29</f>
        <v>-60691.527547731435</v>
      </c>
      <c r="F29" s="14" t="s">
        <v>3</v>
      </c>
      <c r="G29" s="1"/>
    </row>
    <row r="30" spans="1:7" x14ac:dyDescent="0.25">
      <c r="A30" s="1"/>
      <c r="B30" s="94" t="s">
        <v>228</v>
      </c>
      <c r="C30" s="95"/>
      <c r="D30" s="96"/>
      <c r="E30" s="12">
        <f>SUM(E27:E29)*(1+'Fane 14. Nøgletal'!C14)^5</f>
        <v>3023278.8764108885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1eRsB2sWoTEiHN+u0C8misJr9apXsmdEgMQxwDb8MXCLLcWMppQg0CHufSniNIUpCdNb53qVa1d7uNqKEf7XNg==" saltValue="Ath9uRWJj+qPQVik/L7cz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l4nCGbiS7KYma5HfKPsnDBNaFlHmk+HJuSDo8aSCVeAlozDQzjo33vm4M/1TgSiWLb5DE24ibWbkf127zX/L9A==" saltValue="Ce2ghAvMHT9rB4HJV4V5Mg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4" t="s">
        <v>108</v>
      </c>
      <c r="C14" s="95"/>
      <c r="D14" s="95"/>
      <c r="E14" s="95"/>
      <c r="F14" s="96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25">
      <c r="A16" s="1"/>
      <c r="B16" s="25" t="s">
        <v>267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4" t="s">
        <v>169</v>
      </c>
      <c r="C20" s="95"/>
      <c r="D20" s="95"/>
      <c r="E20" s="95"/>
      <c r="F20" s="96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25">
      <c r="A22" s="1"/>
      <c r="B22" s="25" t="s">
        <v>267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4" t="s">
        <v>231</v>
      </c>
      <c r="C26" s="95"/>
      <c r="D26" s="95"/>
      <c r="E26" s="95"/>
      <c r="F26" s="96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25">
      <c r="A28" s="1"/>
      <c r="B28" s="25" t="s">
        <v>267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Kyjul3+KoD3GtcmjALYpEpDoQsqfpvOFTmKW3XMkvgPH7D9CcFfCYJHcqs1nwLK3Aoljwpu4LHElqS3lz2iswA==" saltValue="ckMNx9nl4ZX4i0rBn6nQ5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2" t="s">
        <v>189</v>
      </c>
      <c r="C3" s="102"/>
      <c r="D3" s="1"/>
    </row>
    <row r="4" spans="1:4" ht="25.5" customHeight="1" x14ac:dyDescent="0.25">
      <c r="A4" s="1"/>
      <c r="B4" s="102"/>
      <c r="C4" s="10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64" t="s">
        <v>137</v>
      </c>
      <c r="C9" s="26">
        <v>1.2699999999999999E-2</v>
      </c>
      <c r="D9" s="1"/>
    </row>
    <row r="10" spans="1:4" x14ac:dyDescent="0.25">
      <c r="A10" s="1"/>
      <c r="B10" s="64" t="s">
        <v>138</v>
      </c>
      <c r="C10" s="26">
        <v>1.7500000000000002E-2</v>
      </c>
      <c r="D10" s="1"/>
    </row>
    <row r="11" spans="1:4" x14ac:dyDescent="0.25">
      <c r="A11" s="1"/>
      <c r="B11" s="64" t="s">
        <v>24</v>
      </c>
      <c r="C11" s="26">
        <v>1.6899999999999998E-2</v>
      </c>
      <c r="D11" s="1"/>
    </row>
    <row r="12" spans="1:4" x14ac:dyDescent="0.25">
      <c r="A12" s="1"/>
      <c r="B12" s="39" t="s">
        <v>254</v>
      </c>
      <c r="C12" s="40">
        <v>1.9699999999999999E-2</v>
      </c>
      <c r="D12" s="1"/>
    </row>
    <row r="13" spans="1:4" x14ac:dyDescent="0.25">
      <c r="A13" s="1"/>
      <c r="B13" s="39" t="s">
        <v>162</v>
      </c>
      <c r="C13" s="40">
        <v>1.2200000000000001E-2</v>
      </c>
      <c r="D13" s="1"/>
    </row>
    <row r="14" spans="1:4" x14ac:dyDescent="0.25">
      <c r="A14" s="1"/>
      <c r="B14" s="64" t="s">
        <v>253</v>
      </c>
      <c r="C14" s="50">
        <v>3.3E-3</v>
      </c>
      <c r="D14" s="1"/>
    </row>
    <row r="15" spans="1:4" x14ac:dyDescent="0.25">
      <c r="A15" s="1"/>
      <c r="B15" s="38"/>
      <c r="C15" s="20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38" t="s">
        <v>121</v>
      </c>
      <c r="C18" s="20"/>
      <c r="D18" s="1"/>
    </row>
    <row r="19" spans="1:4" x14ac:dyDescent="0.25">
      <c r="A19" s="1"/>
      <c r="B19" s="64" t="s">
        <v>139</v>
      </c>
      <c r="C19" s="23">
        <v>9.1000000000000004E-3</v>
      </c>
      <c r="D19" s="1"/>
    </row>
    <row r="20" spans="1:4" x14ac:dyDescent="0.25">
      <c r="A20" s="1"/>
      <c r="B20" s="64" t="s">
        <v>190</v>
      </c>
      <c r="C20" s="23">
        <v>1.77E-2</v>
      </c>
      <c r="D20" s="1"/>
    </row>
    <row r="21" spans="1:4" x14ac:dyDescent="0.25">
      <c r="A21" s="1"/>
      <c r="B21" s="64" t="s">
        <v>191</v>
      </c>
      <c r="C21" s="23">
        <v>8.6999999999999994E-3</v>
      </c>
      <c r="D21" s="1"/>
    </row>
    <row r="22" spans="1:4" x14ac:dyDescent="0.25">
      <c r="A22" s="1"/>
      <c r="B22" s="64" t="s">
        <v>140</v>
      </c>
      <c r="C22" s="41">
        <v>2.8400000000000002E-2</v>
      </c>
      <c r="D22" s="1"/>
    </row>
    <row r="23" spans="1:4" x14ac:dyDescent="0.25">
      <c r="A23" s="1"/>
      <c r="B23" s="64" t="s">
        <v>192</v>
      </c>
      <c r="C23" s="41">
        <v>2.75E-2</v>
      </c>
      <c r="D23" s="1"/>
    </row>
    <row r="24" spans="1:4" x14ac:dyDescent="0.25">
      <c r="A24" s="1"/>
      <c r="B24" s="64" t="s">
        <v>193</v>
      </c>
      <c r="C24" s="41">
        <v>1.4800000000000001E-2</v>
      </c>
      <c r="D24" s="1"/>
    </row>
    <row r="25" spans="1:4" x14ac:dyDescent="0.25">
      <c r="A25" s="1"/>
      <c r="B25" s="38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38" t="s">
        <v>122</v>
      </c>
      <c r="C28" s="20"/>
      <c r="D28" s="1"/>
    </row>
    <row r="29" spans="1:4" x14ac:dyDescent="0.25">
      <c r="A29" s="1"/>
      <c r="B29" s="64" t="s">
        <v>141</v>
      </c>
      <c r="C29" s="26">
        <v>0.02</v>
      </c>
      <c r="D29" s="1"/>
    </row>
    <row r="30" spans="1:4" x14ac:dyDescent="0.25">
      <c r="A30" s="1"/>
      <c r="B30" s="38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dsaE+lR08IBMoicER4xNaAXcQvYJHZ8EGArX+9OB9OM8Wm2VoLfQYXIHxqC0Bv8tR4hLMuunsmOZxQ0fuhU6TQ==" saltValue="jAWtXeTp4mOK+F2IWC/4j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194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260</v>
      </c>
      <c r="C9" s="7">
        <f>'Fane 3. Omkostninger i ØR2021'!E20</f>
        <v>74731384.07673119</v>
      </c>
      <c r="D9" s="8" t="s">
        <v>3</v>
      </c>
      <c r="E9" s="1"/>
    </row>
    <row r="10" spans="1:5" ht="17.100000000000001" customHeight="1" x14ac:dyDescent="0.25">
      <c r="A10" s="1"/>
      <c r="B10" s="53" t="s">
        <v>43</v>
      </c>
      <c r="C10" s="7">
        <f>'Fane 10.1. Varige tillæg'!C13</f>
        <v>53844.101100000007</v>
      </c>
      <c r="D10" s="8" t="s">
        <v>3</v>
      </c>
      <c r="E10" s="1"/>
    </row>
    <row r="11" spans="1:5" ht="17.100000000000001" customHeight="1" x14ac:dyDescent="0.25">
      <c r="A11" s="1"/>
      <c r="B11" s="53" t="s">
        <v>44</v>
      </c>
      <c r="C11" s="9">
        <f>'Fane 10.1. Varige tillæg'!E13</f>
        <v>79459.353400000007</v>
      </c>
      <c r="D11" s="8" t="s">
        <v>3</v>
      </c>
      <c r="E11" s="1"/>
    </row>
    <row r="12" spans="1:5" ht="17.100000000000001" customHeight="1" x14ac:dyDescent="0.25">
      <c r="A12" s="1"/>
      <c r="B12" s="53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3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3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3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3" t="s">
        <v>20</v>
      </c>
      <c r="C16" s="9">
        <f>SUM(C9:C15)*'Fane 14. Nøgletal'!C14</f>
        <v>247053.46885306295</v>
      </c>
      <c r="D16" s="8" t="s">
        <v>3</v>
      </c>
      <c r="E16" s="1"/>
    </row>
    <row r="17" spans="1:5" ht="17.100000000000001" customHeight="1" x14ac:dyDescent="0.25">
      <c r="A17" s="1"/>
      <c r="B17" s="53" t="s">
        <v>10</v>
      </c>
      <c r="C17" s="9">
        <f>-SUM(C9:C16)*'Fane 5. Individuelt eff. krav'!G12</f>
        <v>0</v>
      </c>
      <c r="D17" s="8" t="s">
        <v>3</v>
      </c>
      <c r="E17" s="1"/>
    </row>
    <row r="18" spans="1:5" ht="17.100000000000001" customHeight="1" x14ac:dyDescent="0.25">
      <c r="A18" s="1"/>
      <c r="B18" s="53" t="s">
        <v>26</v>
      </c>
      <c r="C18" s="9">
        <f>-'Fane 4.1. Gen. krav - drift'!G39</f>
        <v>-524032.81353275629</v>
      </c>
      <c r="D18" s="8" t="s">
        <v>3</v>
      </c>
      <c r="E18" s="1"/>
    </row>
    <row r="19" spans="1:5" ht="17.100000000000001" customHeight="1" x14ac:dyDescent="0.25">
      <c r="A19" s="1"/>
      <c r="B19" s="53" t="s">
        <v>27</v>
      </c>
      <c r="C19" s="9">
        <f>-'Fane 4.2. Gen. krav - anlæg'!G37</f>
        <v>-752994.16135763447</v>
      </c>
      <c r="D19" s="8" t="s">
        <v>3</v>
      </c>
      <c r="E19" s="1"/>
    </row>
    <row r="20" spans="1:5" ht="17.100000000000001" customHeight="1" x14ac:dyDescent="0.25">
      <c r="A20" s="1"/>
      <c r="B20" s="59" t="s">
        <v>22</v>
      </c>
      <c r="C20" s="10">
        <f>SUM(C9:C19)</f>
        <v>73834714.025193855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2701011.0374864759</v>
      </c>
      <c r="D22" s="11" t="s">
        <v>3</v>
      </c>
      <c r="E22" s="1"/>
    </row>
    <row r="23" spans="1:5" ht="15" customHeight="1" x14ac:dyDescent="0.25">
      <c r="A23" s="1"/>
      <c r="B23" s="38" t="s">
        <v>94</v>
      </c>
      <c r="C23" s="32"/>
      <c r="D23" s="20"/>
      <c r="E23" s="1"/>
    </row>
    <row r="24" spans="1:5" ht="15" customHeight="1" x14ac:dyDescent="0.25">
      <c r="A24" s="1"/>
      <c r="B24" s="59" t="s">
        <v>94</v>
      </c>
      <c r="C24" s="10">
        <f>'Fane 11. Periodevise driftsomk.'!E12</f>
        <v>2993544.875453792</v>
      </c>
      <c r="D24" s="11" t="s">
        <v>3</v>
      </c>
      <c r="E24" s="1"/>
    </row>
    <row r="25" spans="1:5" ht="15" customHeight="1" x14ac:dyDescent="0.25">
      <c r="A25" s="1"/>
      <c r="B25" s="38" t="s">
        <v>93</v>
      </c>
      <c r="C25" s="32"/>
      <c r="D25" s="20"/>
      <c r="E25" s="1"/>
    </row>
    <row r="26" spans="1:5" ht="15" customHeight="1" x14ac:dyDescent="0.25">
      <c r="A26" s="1"/>
      <c r="B26" s="53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3" t="s">
        <v>90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9" t="s">
        <v>95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187</v>
      </c>
      <c r="C29" s="32"/>
      <c r="D29" s="20"/>
      <c r="E29" s="1"/>
    </row>
    <row r="30" spans="1:5" x14ac:dyDescent="0.25">
      <c r="A30" s="1"/>
      <c r="B30" s="36" t="s">
        <v>286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25">
      <c r="A31" s="1"/>
      <c r="B31" s="38" t="s">
        <v>195</v>
      </c>
      <c r="C31" s="32"/>
      <c r="D31" s="20"/>
      <c r="E31" s="1"/>
    </row>
    <row r="32" spans="1:5" x14ac:dyDescent="0.25">
      <c r="A32" s="1"/>
      <c r="B32" s="36" t="s">
        <v>195</v>
      </c>
      <c r="C32" s="10">
        <f>'Fane 8. Korrektion af ØR2020'!E17</f>
        <v>-4486615.8752421848</v>
      </c>
      <c r="D32" s="11" t="s">
        <v>3</v>
      </c>
      <c r="E32" s="1"/>
    </row>
    <row r="33" spans="1:5" x14ac:dyDescent="0.25">
      <c r="A33" s="1"/>
      <c r="B33" s="35" t="s">
        <v>258</v>
      </c>
      <c r="C33" s="32"/>
      <c r="D33" s="20"/>
      <c r="E33" s="1"/>
    </row>
    <row r="34" spans="1:5" x14ac:dyDescent="0.25">
      <c r="A34" s="1"/>
      <c r="B34" s="65" t="s">
        <v>259</v>
      </c>
      <c r="C34" s="10">
        <v>0</v>
      </c>
      <c r="D34" s="11" t="s">
        <v>3</v>
      </c>
      <c r="E34" s="1"/>
    </row>
    <row r="35" spans="1:5" x14ac:dyDescent="0.25">
      <c r="A35" s="1"/>
      <c r="B35" s="38" t="s">
        <v>32</v>
      </c>
      <c r="C35" s="34">
        <f>SUM(C32,C30,C28,C24,C22,C20)</f>
        <v>75042654.062891945</v>
      </c>
      <c r="D35" s="35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qrPa4t644DoCzzjES5eBtKe+oOeLb78o7tTrQiwhOls5GDSU9cCAb+Wk5KZ/uHeVyRZIBzbkwfqrfF7DuImNQ==" saltValue="2ujy64ejWpnO106kiKAEY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196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/>
      <c r="C5" s="87"/>
      <c r="D5" s="87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151</v>
      </c>
      <c r="C9" s="7">
        <f>'Fane 2.1. Økonomisk ramme 2022'!C20</f>
        <v>73834714.025193855</v>
      </c>
      <c r="D9" s="8" t="s">
        <v>3</v>
      </c>
      <c r="E9" s="1"/>
    </row>
    <row r="10" spans="1:5" ht="15" customHeight="1" x14ac:dyDescent="0.25">
      <c r="A10" s="1"/>
      <c r="B10" s="53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3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243654.55628313971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drift'!G46</f>
        <v>-515246.87938106613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anlæg'!G44</f>
        <v>-744297.95226718101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72818823.749828756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Nøgletal'!C14)+'Fane 6. Ikke-påvirkelige omk.'!C21+'Fane 6. Ikke-påvirkelige omk.'!C29</f>
        <v>2709924.3739101817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driftsomk.'!E18</f>
        <v>3003423.5735427896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187</v>
      </c>
      <c r="C25" s="32"/>
      <c r="D25" s="20"/>
      <c r="E25" s="1"/>
    </row>
    <row r="26" spans="1:5" ht="15" customHeight="1" x14ac:dyDescent="0.25">
      <c r="A26" s="1"/>
      <c r="B26" s="36" t="s">
        <v>286</v>
      </c>
      <c r="C26" s="10">
        <f>'Fane 7. Kontrol af ØR2020'!E34</f>
        <v>0</v>
      </c>
      <c r="D26" s="11" t="s">
        <v>3</v>
      </c>
      <c r="E26" s="1"/>
    </row>
    <row r="27" spans="1:5" x14ac:dyDescent="0.25">
      <c r="A27" s="1"/>
      <c r="B27" s="35" t="s">
        <v>258</v>
      </c>
      <c r="C27" s="32"/>
      <c r="D27" s="20"/>
      <c r="E27" s="1"/>
    </row>
    <row r="28" spans="1:5" x14ac:dyDescent="0.25">
      <c r="A28" s="1"/>
      <c r="B28" s="65" t="s">
        <v>259</v>
      </c>
      <c r="C28" s="10">
        <v>0</v>
      </c>
      <c r="D28" s="11" t="s">
        <v>3</v>
      </c>
      <c r="E28" s="1"/>
    </row>
    <row r="29" spans="1:5" x14ac:dyDescent="0.25">
      <c r="A29" s="1"/>
      <c r="B29" s="38" t="s">
        <v>102</v>
      </c>
      <c r="C29" s="12">
        <f>SUM(C16,C18,C20,C24,C26,C28)</f>
        <v>78532171.697281733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iwfNeGsAcb2v+bJPDXvXuOPVc6Jo//o4f78Hx/UGOQ5nsIaX4dA0nI1eRCuf/Rbw4U62zsY02TXCiHuN0sB48A==" saltValue="lkeBaFYgMWXGiNwNw7fM5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197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152</v>
      </c>
      <c r="C9" s="7">
        <f>'Fane 2.2. Økonomisk ramme 2023'!C16</f>
        <v>72818823.749828756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240302.11837443488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drift'!G54</f>
        <v>-506608.25020136329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anlæg'!G55</f>
        <v>-735702.17430411978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71816815.443697721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Nøgletal'!C14)^2+'Fane 6. Ikke-påvirkelige omk.'!C22+'Fane 6. Ikke-påvirkelige omk.'!C30</f>
        <v>2718867.1243440853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driftsomk.'!E24</f>
        <v>3013334.8713354813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153</v>
      </c>
      <c r="C27" s="12">
        <f>SUM(C16,C18,C20,C24,C26)</f>
        <v>77549017.439377278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SjoPL2reTYykJfWxESKa4yndhq+b6iaoPogZhu/whsSBYHM4fTfCB+5yuCXl1FmbXc6uLv9YSQ8WivHXaJo8g==" saltValue="m5+YcUASXp2DAZdxPNNOF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6" t="s">
        <v>198</v>
      </c>
      <c r="C3" s="86"/>
      <c r="D3" s="86"/>
      <c r="E3" s="1"/>
    </row>
    <row r="4" spans="1:5" ht="15" customHeight="1" x14ac:dyDescent="0.25">
      <c r="A4" s="1"/>
      <c r="B4" s="86"/>
      <c r="C4" s="86"/>
      <c r="D4" s="86"/>
      <c r="E4" s="1"/>
    </row>
    <row r="5" spans="1:5" x14ac:dyDescent="0.25">
      <c r="A5" s="1"/>
      <c r="B5" s="87" t="s">
        <v>23</v>
      </c>
      <c r="C5" s="87"/>
      <c r="D5" s="87"/>
      <c r="E5" s="1"/>
    </row>
    <row r="6" spans="1:5" x14ac:dyDescent="0.25">
      <c r="A6" s="1"/>
      <c r="B6" s="51"/>
      <c r="C6" s="51"/>
      <c r="D6" s="5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199</v>
      </c>
      <c r="C9" s="7">
        <f>'Fane 2.3. Økonomisk ramme 2024'!C16</f>
        <v>71816815.443697721</v>
      </c>
      <c r="D9" s="8" t="s">
        <v>3</v>
      </c>
      <c r="E9" s="1"/>
    </row>
    <row r="10" spans="1:5" ht="15" customHeight="1" x14ac:dyDescent="0.2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Nøgletal'!C14</f>
        <v>236995.49096420247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krav'!G12</f>
        <v>0</v>
      </c>
      <c r="D13" s="8" t="s">
        <v>3</v>
      </c>
      <c r="E13" s="1"/>
    </row>
    <row r="14" spans="1:5" ht="15" customHeight="1" x14ac:dyDescent="0.25">
      <c r="A14" s="1"/>
      <c r="B14" s="30" t="s">
        <v>26</v>
      </c>
      <c r="C14" s="9">
        <f>-'Fane 4.1. Gen. krav - drift'!G60</f>
        <v>-498114.45627848723</v>
      </c>
      <c r="D14" s="8" t="s">
        <v>3</v>
      </c>
      <c r="E14" s="1"/>
    </row>
    <row r="15" spans="1:5" ht="15" customHeight="1" x14ac:dyDescent="0.25">
      <c r="A15" s="1"/>
      <c r="B15" s="30" t="s">
        <v>27</v>
      </c>
      <c r="C15" s="9">
        <f>-'Fane 4.2. Gen. krav - anlæg'!G61</f>
        <v>-727205.66760542954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70828490.810778007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Nøgletal'!C14)^3+'Fane 6. Ikke-påvirkelige omk.'!C23+'Fane 6. Ikke-påvirkelige omk.'!C31</f>
        <v>2727839.3858544212</v>
      </c>
      <c r="D18" s="11" t="s">
        <v>3</v>
      </c>
      <c r="E18" s="1"/>
    </row>
    <row r="19" spans="1:5" ht="15" customHeight="1" x14ac:dyDescent="0.25">
      <c r="A19" s="1"/>
      <c r="B19" s="38" t="s">
        <v>94</v>
      </c>
      <c r="C19" s="32"/>
      <c r="D19" s="20"/>
      <c r="E19" s="1"/>
    </row>
    <row r="20" spans="1:5" ht="15" customHeight="1" x14ac:dyDescent="0.25">
      <c r="A20" s="1"/>
      <c r="B20" s="59" t="s">
        <v>94</v>
      </c>
      <c r="C20" s="10">
        <f>'Fane 11. Periodevise driftsomk.'!E30</f>
        <v>3023278.8764108885</v>
      </c>
      <c r="D20" s="11" t="s">
        <v>3</v>
      </c>
      <c r="E20" s="1"/>
    </row>
    <row r="21" spans="1:5" ht="15" customHeight="1" x14ac:dyDescent="0.25">
      <c r="A21" s="1"/>
      <c r="B21" s="38" t="s">
        <v>93</v>
      </c>
      <c r="C21" s="32"/>
      <c r="D21" s="20"/>
      <c r="E21" s="1"/>
    </row>
    <row r="22" spans="1:5" ht="15" customHeight="1" x14ac:dyDescent="0.25">
      <c r="A22" s="1"/>
      <c r="B22" s="53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3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9" t="s">
        <v>95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5" t="s">
        <v>258</v>
      </c>
      <c r="C25" s="32"/>
      <c r="D25" s="20"/>
      <c r="E25" s="1"/>
    </row>
    <row r="26" spans="1:5" x14ac:dyDescent="0.25">
      <c r="A26" s="1"/>
      <c r="B26" s="65" t="s">
        <v>259</v>
      </c>
      <c r="C26" s="10">
        <v>0</v>
      </c>
      <c r="D26" s="11" t="s">
        <v>3</v>
      </c>
      <c r="E26" s="1"/>
    </row>
    <row r="27" spans="1:5" x14ac:dyDescent="0.25">
      <c r="A27" s="1"/>
      <c r="B27" s="38" t="s">
        <v>200</v>
      </c>
      <c r="C27" s="12">
        <f>SUM(C16,C18,C20,C24,C26)</f>
        <v>76579609.073043317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</sheetData>
  <sheetProtection algorithmName="SHA-512" hashValue="0+v7kgnPHqWFkI3rstfZK8vE2iXS4/S61vE6hQnHKM63IpqAjHWEuZSClE0Nl2FIFdanrkvHv2vxTfgv5cZpbQ==" saltValue="+7xSD5lABnOcQqkO6Babu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25">
      <c r="A4" s="1"/>
      <c r="B4" s="102"/>
      <c r="C4" s="102"/>
      <c r="D4" s="102"/>
      <c r="E4" s="102"/>
      <c r="F4" s="10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279</v>
      </c>
      <c r="C8" s="32"/>
      <c r="D8" s="32"/>
      <c r="E8" s="32"/>
      <c r="F8" s="20"/>
      <c r="G8" s="1"/>
    </row>
    <row r="9" spans="1:7" ht="15" customHeight="1" x14ac:dyDescent="0.25">
      <c r="A9" s="1"/>
      <c r="B9" s="97" t="s">
        <v>25</v>
      </c>
      <c r="C9" s="98"/>
      <c r="D9" s="99"/>
      <c r="E9" s="7">
        <v>75228200.370559707</v>
      </c>
      <c r="F9" s="8" t="s">
        <v>3</v>
      </c>
      <c r="G9" s="1"/>
    </row>
    <row r="10" spans="1:7" ht="15" customHeight="1" x14ac:dyDescent="0.25">
      <c r="A10" s="1"/>
      <c r="B10" s="88" t="s">
        <v>43</v>
      </c>
      <c r="C10" s="89"/>
      <c r="D10" s="90"/>
      <c r="E10" s="7">
        <v>15031.17</v>
      </c>
      <c r="F10" s="8" t="s">
        <v>3</v>
      </c>
      <c r="G10" s="1"/>
    </row>
    <row r="11" spans="1:7" ht="15" customHeight="1" x14ac:dyDescent="0.25">
      <c r="A11" s="1"/>
      <c r="B11" s="88" t="s">
        <v>44</v>
      </c>
      <c r="C11" s="89"/>
      <c r="D11" s="90"/>
      <c r="E11" s="9">
        <v>17568.755399999998</v>
      </c>
      <c r="F11" s="8" t="s">
        <v>3</v>
      </c>
      <c r="G11" s="1"/>
    </row>
    <row r="12" spans="1:7" ht="15" customHeight="1" x14ac:dyDescent="0.2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2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2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25">
      <c r="A16" s="1"/>
      <c r="B16" s="97" t="s">
        <v>20</v>
      </c>
      <c r="C16" s="98"/>
      <c r="D16" s="99"/>
      <c r="E16" s="9">
        <v>1482393.2663899059</v>
      </c>
      <c r="F16" s="8" t="s">
        <v>3</v>
      </c>
      <c r="G16" s="1"/>
    </row>
    <row r="17" spans="1:7" ht="15" customHeight="1" x14ac:dyDescent="0.25">
      <c r="A17" s="1"/>
      <c r="B17" s="97" t="s">
        <v>10</v>
      </c>
      <c r="C17" s="98"/>
      <c r="D17" s="99"/>
      <c r="E17" s="9">
        <v>0</v>
      </c>
      <c r="F17" s="8" t="s">
        <v>3</v>
      </c>
      <c r="G17" s="1"/>
    </row>
    <row r="18" spans="1:7" ht="15" customHeight="1" x14ac:dyDescent="0.25">
      <c r="A18" s="1"/>
      <c r="B18" s="97" t="s">
        <v>26</v>
      </c>
      <c r="C18" s="98"/>
      <c r="D18" s="99"/>
      <c r="E18" s="9">
        <f>-'Fane 4.1. Gen. krav - drift'!G33</f>
        <v>-531869.70527878776</v>
      </c>
      <c r="F18" s="8" t="s">
        <v>3</v>
      </c>
      <c r="G18" s="1"/>
    </row>
    <row r="19" spans="1:7" ht="15" customHeight="1" x14ac:dyDescent="0.25">
      <c r="A19" s="1"/>
      <c r="B19" s="97" t="s">
        <v>27</v>
      </c>
      <c r="C19" s="98"/>
      <c r="D19" s="99"/>
      <c r="E19" s="9">
        <f>-'Fane 4.2. Gen. krav - anlæg'!G31</f>
        <v>-1479939.7803396438</v>
      </c>
      <c r="F19" s="8" t="s">
        <v>3</v>
      </c>
      <c r="G19" s="1"/>
    </row>
    <row r="20" spans="1:7" ht="15" customHeight="1" x14ac:dyDescent="0.25">
      <c r="A20" s="1"/>
      <c r="B20" s="59" t="s">
        <v>22</v>
      </c>
      <c r="C20" s="60"/>
      <c r="D20" s="66"/>
      <c r="E20" s="10">
        <f>SUM(E9:E19)</f>
        <v>74731384.07673119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91" t="s">
        <v>13</v>
      </c>
      <c r="C22" s="92"/>
      <c r="D22" s="93"/>
      <c r="E22" s="10">
        <v>1809690.32800836</v>
      </c>
      <c r="F22" s="11" t="s">
        <v>3</v>
      </c>
      <c r="G22" s="1"/>
    </row>
    <row r="23" spans="1:7" ht="15" customHeight="1" x14ac:dyDescent="0.2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25">
      <c r="A24" s="1"/>
      <c r="B24" s="59" t="s">
        <v>94</v>
      </c>
      <c r="C24" s="43"/>
      <c r="D24" s="44"/>
      <c r="E24" s="10">
        <v>3040820.1867379923</v>
      </c>
      <c r="F24" s="11" t="s">
        <v>3</v>
      </c>
      <c r="G24" s="1"/>
    </row>
    <row r="25" spans="1:7" x14ac:dyDescent="0.2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2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2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2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2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2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2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25">
      <c r="A33" s="1"/>
      <c r="B33" s="38" t="s">
        <v>251</v>
      </c>
      <c r="C33" s="32"/>
      <c r="D33" s="20"/>
      <c r="E33" s="12">
        <f>SUM(E32,E30,E28,E24,E22,E20)</f>
        <v>79581894.591477543</v>
      </c>
      <c r="F33" s="13" t="s">
        <v>3</v>
      </c>
      <c r="G33" s="1"/>
    </row>
    <row r="34" spans="1:7" ht="27" customHeight="1" x14ac:dyDescent="0.25">
      <c r="A34" s="1"/>
      <c r="B34" s="97" t="s">
        <v>252</v>
      </c>
      <c r="C34" s="98"/>
      <c r="D34" s="98"/>
      <c r="E34" s="98"/>
      <c r="F34" s="9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IfGfXb/zPbGD+MDukcnmasEIwLJk5tkqllojmD5fW1EsJJscFKHHGN7FNd2p/ZWaWee/uWpZdEPEf/8H2LzvBw==" saltValue="ZPDfwLVseGnm6WqpT3QUWQ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2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25">
      <c r="A4" s="1"/>
      <c r="B4" s="94" t="s">
        <v>56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103" t="s">
        <v>45</v>
      </c>
      <c r="C5" s="104"/>
      <c r="D5" s="104"/>
      <c r="E5" s="104"/>
      <c r="F5" s="105"/>
      <c r="G5" s="24">
        <v>25749261</v>
      </c>
      <c r="H5" s="14" t="s">
        <v>3</v>
      </c>
      <c r="I5" s="1"/>
    </row>
    <row r="6" spans="1:9" x14ac:dyDescent="0.25">
      <c r="A6" s="1"/>
      <c r="B6" s="97" t="s">
        <v>145</v>
      </c>
      <c r="C6" s="98"/>
      <c r="D6" s="98"/>
      <c r="E6" s="98"/>
      <c r="F6" s="99"/>
      <c r="G6" s="24">
        <v>2973717</v>
      </c>
      <c r="H6" s="14" t="s">
        <v>3</v>
      </c>
      <c r="I6" s="1"/>
    </row>
    <row r="7" spans="1:9" x14ac:dyDescent="0.25">
      <c r="A7" s="1"/>
      <c r="B7" s="103" t="s">
        <v>46</v>
      </c>
      <c r="C7" s="104"/>
      <c r="D7" s="104"/>
      <c r="E7" s="104"/>
      <c r="F7" s="105"/>
      <c r="G7" s="24">
        <f>SUM(G5:G6)*'Fane 14. Nøgletal'!C29</f>
        <v>574459.56000000006</v>
      </c>
      <c r="H7" s="14" t="s">
        <v>3</v>
      </c>
      <c r="I7" s="1"/>
    </row>
    <row r="8" spans="1:9" x14ac:dyDescent="0.2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4" t="s">
        <v>57</v>
      </c>
      <c r="C10" s="95"/>
      <c r="D10" s="95"/>
      <c r="E10" s="95"/>
      <c r="F10" s="95"/>
      <c r="G10" s="95"/>
      <c r="H10" s="96"/>
      <c r="I10" s="1"/>
    </row>
    <row r="11" spans="1:9" x14ac:dyDescent="0.25">
      <c r="A11" s="1"/>
      <c r="B11" s="103" t="s">
        <v>47</v>
      </c>
      <c r="C11" s="104"/>
      <c r="D11" s="104"/>
      <c r="E11" s="104"/>
      <c r="F11" s="105"/>
      <c r="G11" s="24">
        <f>(G5-G7)*(1+'Fane 14. Nøgletal'!C10)</f>
        <v>25615360.465200003</v>
      </c>
      <c r="H11" s="14" t="s">
        <v>3</v>
      </c>
      <c r="I11" s="1"/>
    </row>
    <row r="12" spans="1:9" ht="15" customHeight="1" x14ac:dyDescent="0.25">
      <c r="A12" s="1"/>
      <c r="B12" s="103" t="s">
        <v>146</v>
      </c>
      <c r="C12" s="104"/>
      <c r="D12" s="104"/>
      <c r="E12" s="104"/>
      <c r="F12" s="105"/>
      <c r="G12" s="24">
        <v>0.61480263169854887</v>
      </c>
      <c r="H12" s="14" t="s">
        <v>3</v>
      </c>
      <c r="I12" s="1"/>
    </row>
    <row r="13" spans="1:9" x14ac:dyDescent="0.25">
      <c r="A13" s="1"/>
      <c r="B13" s="97" t="s">
        <v>143</v>
      </c>
      <c r="C13" s="98"/>
      <c r="D13" s="98"/>
      <c r="E13" s="98"/>
      <c r="F13" s="99"/>
      <c r="G13" s="24">
        <v>2926492.8000000003</v>
      </c>
      <c r="H13" s="14" t="s">
        <v>3</v>
      </c>
      <c r="I13" s="1"/>
    </row>
    <row r="14" spans="1:9" x14ac:dyDescent="0.25">
      <c r="A14" s="1"/>
      <c r="B14" s="106" t="s">
        <v>48</v>
      </c>
      <c r="C14" s="107"/>
      <c r="D14" s="107"/>
      <c r="E14" s="107"/>
      <c r="F14" s="108"/>
      <c r="G14" s="2">
        <v>0</v>
      </c>
      <c r="H14" s="14" t="s">
        <v>3</v>
      </c>
      <c r="I14" s="1"/>
    </row>
    <row r="15" spans="1:9" x14ac:dyDescent="0.25">
      <c r="A15" s="1"/>
      <c r="B15" s="103" t="s">
        <v>49</v>
      </c>
      <c r="C15" s="104"/>
      <c r="D15" s="104"/>
      <c r="E15" s="104"/>
      <c r="F15" s="105"/>
      <c r="G15" s="24">
        <f>SUM(G11:G14)*'Fane 14. Nøgletal'!C29</f>
        <v>570837.0776000527</v>
      </c>
      <c r="H15" s="14" t="s">
        <v>3</v>
      </c>
      <c r="I15" s="1"/>
    </row>
    <row r="16" spans="1:9" x14ac:dyDescent="0.2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4" t="s">
        <v>58</v>
      </c>
      <c r="C18" s="95"/>
      <c r="D18" s="95"/>
      <c r="E18" s="95"/>
      <c r="F18" s="95"/>
      <c r="G18" s="95"/>
      <c r="H18" s="96"/>
      <c r="I18" s="1"/>
    </row>
    <row r="19" spans="1:9" x14ac:dyDescent="0.25">
      <c r="A19" s="1"/>
      <c r="B19" s="103" t="s">
        <v>50</v>
      </c>
      <c r="C19" s="104"/>
      <c r="D19" s="104"/>
      <c r="E19" s="104"/>
      <c r="F19" s="105"/>
      <c r="G19" s="24">
        <f>(SUM(G11:G12,G14)-(G15))*(1+'Fane 14. Nøgletal'!C10)</f>
        <v>25482803.172444627</v>
      </c>
      <c r="H19" s="14" t="s">
        <v>3</v>
      </c>
      <c r="I19" s="1"/>
    </row>
    <row r="20" spans="1:9" x14ac:dyDescent="0.25">
      <c r="A20" s="1"/>
      <c r="B20" s="106" t="s">
        <v>51</v>
      </c>
      <c r="C20" s="107"/>
      <c r="D20" s="107"/>
      <c r="E20" s="107"/>
      <c r="F20" s="108"/>
      <c r="G20" s="2">
        <v>0</v>
      </c>
      <c r="H20" s="14" t="s">
        <v>3</v>
      </c>
      <c r="I20" s="1"/>
    </row>
    <row r="21" spans="1:9" x14ac:dyDescent="0.25">
      <c r="A21" s="1"/>
      <c r="B21" s="103" t="s">
        <v>52</v>
      </c>
      <c r="C21" s="104"/>
      <c r="D21" s="104"/>
      <c r="E21" s="104"/>
      <c r="F21" s="105"/>
      <c r="G21" s="24">
        <f>SUM(G19:G20)*'Fane 14. Nøgletal'!C29</f>
        <v>509656.06344889256</v>
      </c>
      <c r="H21" s="14" t="s">
        <v>3</v>
      </c>
      <c r="I21" s="1"/>
    </row>
    <row r="22" spans="1:9" x14ac:dyDescent="0.2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4" t="s">
        <v>59</v>
      </c>
      <c r="C24" s="95"/>
      <c r="D24" s="95"/>
      <c r="E24" s="95"/>
      <c r="F24" s="95"/>
      <c r="G24" s="95"/>
      <c r="H24" s="96"/>
      <c r="I24" s="1"/>
    </row>
    <row r="25" spans="1:9" x14ac:dyDescent="0.25">
      <c r="A25" s="1"/>
      <c r="B25" s="103" t="s">
        <v>53</v>
      </c>
      <c r="C25" s="104"/>
      <c r="D25" s="104"/>
      <c r="E25" s="104"/>
      <c r="F25" s="105"/>
      <c r="G25" s="24">
        <f>(G19+G20-G21)*(1+'Fane 14. Nøgletal'!C12)</f>
        <v>25465118.107042953</v>
      </c>
      <c r="H25" s="14" t="s">
        <v>3</v>
      </c>
      <c r="I25" s="1"/>
    </row>
    <row r="26" spans="1:9" x14ac:dyDescent="0.25">
      <c r="A26" s="1"/>
      <c r="B26" s="106" t="s">
        <v>54</v>
      </c>
      <c r="C26" s="107"/>
      <c r="D26" s="107"/>
      <c r="E26" s="107"/>
      <c r="F26" s="108"/>
      <c r="G26" s="24">
        <v>1131610.7364398101</v>
      </c>
      <c r="H26" s="14" t="s">
        <v>3</v>
      </c>
      <c r="I26" s="1"/>
    </row>
    <row r="27" spans="1:9" x14ac:dyDescent="0.25">
      <c r="A27" s="1"/>
      <c r="B27" s="103" t="s">
        <v>55</v>
      </c>
      <c r="C27" s="104"/>
      <c r="D27" s="104"/>
      <c r="E27" s="104"/>
      <c r="F27" s="105"/>
      <c r="G27" s="24">
        <f>(G25+G26)*'Fane 14. Nøgletal'!C29</f>
        <v>531934.57686965528</v>
      </c>
      <c r="H27" s="14" t="s">
        <v>3</v>
      </c>
      <c r="I27" s="1"/>
    </row>
    <row r="28" spans="1:9" x14ac:dyDescent="0.2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94" t="s">
        <v>62</v>
      </c>
      <c r="C30" s="95"/>
      <c r="D30" s="95"/>
      <c r="E30" s="95"/>
      <c r="F30" s="95"/>
      <c r="G30" s="95"/>
      <c r="H30" s="96"/>
      <c r="I30" s="1"/>
    </row>
    <row r="31" spans="1:9" x14ac:dyDescent="0.25">
      <c r="A31" s="1"/>
      <c r="B31" s="103" t="s">
        <v>63</v>
      </c>
      <c r="C31" s="104"/>
      <c r="D31" s="104"/>
      <c r="E31" s="104"/>
      <c r="F31" s="105"/>
      <c r="G31" s="24">
        <f>(G25+G26-G27)*(1+'Fane 14. Nøgletal'!C12)</f>
        <v>26578270.713665389</v>
      </c>
      <c r="H31" s="14" t="s">
        <v>3</v>
      </c>
      <c r="I31" s="1"/>
    </row>
    <row r="32" spans="1:9" x14ac:dyDescent="0.25">
      <c r="A32" s="1"/>
      <c r="B32" s="103" t="s">
        <v>171</v>
      </c>
      <c r="C32" s="104"/>
      <c r="D32" s="104"/>
      <c r="E32" s="104"/>
      <c r="F32" s="105"/>
      <c r="G32" s="24">
        <v>15214.550273999999</v>
      </c>
      <c r="H32" s="14" t="s">
        <v>3</v>
      </c>
      <c r="I32" s="1"/>
    </row>
    <row r="33" spans="1:9" x14ac:dyDescent="0.25">
      <c r="A33" s="1"/>
      <c r="B33" s="103" t="s">
        <v>64</v>
      </c>
      <c r="C33" s="104"/>
      <c r="D33" s="104"/>
      <c r="E33" s="104"/>
      <c r="F33" s="105"/>
      <c r="G33" s="24">
        <f>(G31+G32)*'Fane 14. Nøgletal'!C29</f>
        <v>531869.70527878776</v>
      </c>
      <c r="H33" s="14" t="s">
        <v>3</v>
      </c>
      <c r="I33" s="1"/>
    </row>
    <row r="34" spans="1:9" x14ac:dyDescent="0.2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94" t="s">
        <v>232</v>
      </c>
      <c r="C36" s="95"/>
      <c r="D36" s="95"/>
      <c r="E36" s="95"/>
      <c r="F36" s="95"/>
      <c r="G36" s="95"/>
      <c r="H36" s="96"/>
      <c r="I36" s="1"/>
    </row>
    <row r="37" spans="1:9" x14ac:dyDescent="0.25">
      <c r="A37" s="1"/>
      <c r="B37" s="103" t="s">
        <v>84</v>
      </c>
      <c r="C37" s="104"/>
      <c r="D37" s="104"/>
      <c r="E37" s="104"/>
      <c r="F37" s="105"/>
      <c r="G37" s="24">
        <f>(G31+G32-G33)*(1+'Fane 14. Nøgletal'!C14)</f>
        <v>26147618.890004184</v>
      </c>
      <c r="H37" s="14" t="s">
        <v>3</v>
      </c>
      <c r="I37" s="1"/>
    </row>
    <row r="38" spans="1:9" x14ac:dyDescent="0.25">
      <c r="A38" s="1"/>
      <c r="B38" s="103" t="s">
        <v>236</v>
      </c>
      <c r="C38" s="104"/>
      <c r="D38" s="104"/>
      <c r="E38" s="104"/>
      <c r="F38" s="105"/>
      <c r="G38" s="24">
        <f>SUM('Fane 2.1. Økonomisk ramme 2022'!C10,'Fane 2.1. Økonomisk ramme 2022'!C12,'Fane 2.1. Økonomisk ramme 2022'!C14)*(1+'Fane 14. Nøgletal'!C14)</f>
        <v>54021.786633630014</v>
      </c>
      <c r="H38" s="14" t="s">
        <v>3</v>
      </c>
      <c r="I38" s="1"/>
    </row>
    <row r="39" spans="1:9" x14ac:dyDescent="0.25">
      <c r="A39" s="1"/>
      <c r="B39" s="103" t="s">
        <v>234</v>
      </c>
      <c r="C39" s="104"/>
      <c r="D39" s="104"/>
      <c r="E39" s="104"/>
      <c r="F39" s="105"/>
      <c r="G39" s="24">
        <f>(G37+G38)*'Fane 14. Nøgletal'!C29</f>
        <v>524032.81353275629</v>
      </c>
      <c r="H39" s="14" t="s">
        <v>3</v>
      </c>
      <c r="I39" s="1"/>
    </row>
    <row r="40" spans="1:9" x14ac:dyDescent="0.2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94" t="s">
        <v>233</v>
      </c>
      <c r="C42" s="95"/>
      <c r="D42" s="95"/>
      <c r="E42" s="95"/>
      <c r="F42" s="95"/>
      <c r="G42" s="95"/>
      <c r="H42" s="96"/>
      <c r="I42" s="1"/>
    </row>
    <row r="43" spans="1:9" x14ac:dyDescent="0.25">
      <c r="A43" s="1"/>
      <c r="B43" s="103" t="s">
        <v>83</v>
      </c>
      <c r="C43" s="104"/>
      <c r="D43" s="104"/>
      <c r="E43" s="104"/>
      <c r="F43" s="105"/>
      <c r="G43" s="24">
        <f>(G37+G38-G39)*(1+'Fane 14. Nøgletal'!C14)</f>
        <v>25762343.969053306</v>
      </c>
      <c r="H43" s="14" t="s">
        <v>3</v>
      </c>
      <c r="I43" s="1"/>
    </row>
    <row r="44" spans="1:9" x14ac:dyDescent="0.25">
      <c r="A44" s="1"/>
      <c r="B44" s="109" t="s">
        <v>237</v>
      </c>
      <c r="C44" s="110"/>
      <c r="D44" s="110"/>
      <c r="E44" s="110"/>
      <c r="F44" s="111"/>
      <c r="G44" s="24">
        <f>G38*(1+'Fane 14. Nøgletal'!C14)</f>
        <v>54200.058529520997</v>
      </c>
      <c r="H44" s="14" t="s">
        <v>3</v>
      </c>
      <c r="I44" s="1"/>
    </row>
    <row r="45" spans="1:9" x14ac:dyDescent="0.25">
      <c r="A45" s="1"/>
      <c r="B45" s="103" t="s">
        <v>97</v>
      </c>
      <c r="C45" s="104"/>
      <c r="D45" s="104"/>
      <c r="E45" s="104"/>
      <c r="F45" s="105"/>
      <c r="G45" s="2">
        <f>-'Fane 13. Bortfald'!C18*(1+'Fane 14. Nøgletal'!C14)</f>
        <v>0</v>
      </c>
      <c r="H45" s="14" t="s">
        <v>3</v>
      </c>
      <c r="I45" s="1"/>
    </row>
    <row r="46" spans="1:9" x14ac:dyDescent="0.25">
      <c r="A46" s="1"/>
      <c r="B46" s="103" t="s">
        <v>235</v>
      </c>
      <c r="C46" s="104"/>
      <c r="D46" s="104"/>
      <c r="E46" s="104"/>
      <c r="F46" s="105"/>
      <c r="G46" s="24">
        <f>(G43+G45)*'Fane 14. Nøgletal'!C29</f>
        <v>515246.87938106613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4" t="s">
        <v>172</v>
      </c>
      <c r="C51" s="95"/>
      <c r="D51" s="95"/>
      <c r="E51" s="95"/>
      <c r="F51" s="95"/>
      <c r="G51" s="95"/>
      <c r="H51" s="96"/>
      <c r="I51" s="1"/>
    </row>
    <row r="52" spans="1:9" x14ac:dyDescent="0.25">
      <c r="A52" s="1"/>
      <c r="B52" s="103" t="s">
        <v>173</v>
      </c>
      <c r="C52" s="104"/>
      <c r="D52" s="104"/>
      <c r="E52" s="104"/>
      <c r="F52" s="105"/>
      <c r="G52" s="24">
        <f>(G43+G45-G46)*(1+'Fane 14. Nøgletal'!C14)</f>
        <v>25330412.510068163</v>
      </c>
      <c r="H52" s="14" t="s">
        <v>3</v>
      </c>
      <c r="I52" s="1"/>
    </row>
    <row r="53" spans="1:9" x14ac:dyDescent="0.25">
      <c r="A53" s="1"/>
      <c r="B53" s="103" t="s">
        <v>174</v>
      </c>
      <c r="C53" s="104"/>
      <c r="D53" s="104"/>
      <c r="E53" s="104"/>
      <c r="F53" s="105"/>
      <c r="G53" s="2">
        <f>-'Fane 13. Bortfald'!C24*(1+'Fane 14. Nøgletal'!C14)</f>
        <v>0</v>
      </c>
      <c r="H53" s="14" t="s">
        <v>3</v>
      </c>
      <c r="I53" s="1"/>
    </row>
    <row r="54" spans="1:9" x14ac:dyDescent="0.25">
      <c r="A54" s="1"/>
      <c r="B54" s="103" t="s">
        <v>175</v>
      </c>
      <c r="C54" s="104"/>
      <c r="D54" s="104"/>
      <c r="E54" s="104"/>
      <c r="F54" s="105"/>
      <c r="G54" s="24">
        <f>(G52+G53)*'Fane 14. Nøgletal'!C29</f>
        <v>506608.25020136329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94" t="s">
        <v>201</v>
      </c>
      <c r="C57" s="95"/>
      <c r="D57" s="95"/>
      <c r="E57" s="95"/>
      <c r="F57" s="95"/>
      <c r="G57" s="95"/>
      <c r="H57" s="96"/>
      <c r="I57" s="1"/>
    </row>
    <row r="58" spans="1:9" x14ac:dyDescent="0.25">
      <c r="A58" s="1"/>
      <c r="B58" s="61" t="s">
        <v>202</v>
      </c>
      <c r="C58" s="62"/>
      <c r="D58" s="62"/>
      <c r="E58" s="62"/>
      <c r="F58" s="63"/>
      <c r="G58" s="24">
        <f>(G52+G53-G54)*(1+'Fane 14. Nøgletal'!C14)</f>
        <v>24905722.813924361</v>
      </c>
      <c r="H58" s="14" t="s">
        <v>3</v>
      </c>
      <c r="I58" s="1"/>
    </row>
    <row r="59" spans="1:9" x14ac:dyDescent="0.25">
      <c r="A59" s="1"/>
      <c r="B59" s="61" t="s">
        <v>203</v>
      </c>
      <c r="C59" s="62"/>
      <c r="D59" s="62"/>
      <c r="E59" s="62"/>
      <c r="F59" s="63"/>
      <c r="G59" s="2">
        <f>-'Fane 13. Bortfald'!C30*(1+'Fane 14. Nøgletal'!C14)</f>
        <v>0</v>
      </c>
      <c r="H59" s="14" t="s">
        <v>3</v>
      </c>
      <c r="I59" s="1"/>
    </row>
    <row r="60" spans="1:9" x14ac:dyDescent="0.25">
      <c r="A60" s="1"/>
      <c r="B60" s="61" t="s">
        <v>204</v>
      </c>
      <c r="C60" s="62"/>
      <c r="D60" s="62"/>
      <c r="E60" s="62"/>
      <c r="F60" s="63"/>
      <c r="G60" s="24">
        <f>(G58+G59)*'Fane 14. Nøgletal'!C29</f>
        <v>498114.45627848723</v>
      </c>
      <c r="H60" s="14" t="s">
        <v>3</v>
      </c>
      <c r="I60" s="1"/>
    </row>
    <row r="61" spans="1:9" x14ac:dyDescent="0.2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CiWARIt2VCvVBu/5rEDWzE67f7XTvSP8ZQutEUrCSyWlCWCJbhpiszzYRQ+vdssLFlBtXmuLpHhY+Z0md3GikQ==" saltValue="UgR9ni8MI7gRvq5A1XbYDA==" spinCount="100000" sheet="1" objects="1" scenarios="1"/>
  <mergeCells count="37"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25:F25"/>
    <mergeCell ref="B26:F26"/>
    <mergeCell ref="B27:F27"/>
    <mergeCell ref="B37:F37"/>
    <mergeCell ref="B51:H51"/>
    <mergeCell ref="B14:F14"/>
    <mergeCell ref="B15:F15"/>
    <mergeCell ref="B19:F19"/>
    <mergeCell ref="B20:F20"/>
    <mergeCell ref="B21:F21"/>
    <mergeCell ref="B57:H57"/>
    <mergeCell ref="B11:F11"/>
    <mergeCell ref="B10:H10"/>
    <mergeCell ref="B6:F6"/>
    <mergeCell ref="B2:H3"/>
    <mergeCell ref="B24:H24"/>
    <mergeCell ref="B4:H4"/>
    <mergeCell ref="B5:F5"/>
    <mergeCell ref="B7:F7"/>
    <mergeCell ref="B54:F54"/>
    <mergeCell ref="B12:F12"/>
    <mergeCell ref="B13:F13"/>
    <mergeCell ref="B30:H30"/>
    <mergeCell ref="B31:F31"/>
    <mergeCell ref="B36:H36"/>
    <mergeCell ref="B18:H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2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2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2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25">
      <c r="A5" s="1"/>
      <c r="B5" s="103" t="s">
        <v>65</v>
      </c>
      <c r="C5" s="104"/>
      <c r="D5" s="104"/>
      <c r="E5" s="104"/>
      <c r="F5" s="105"/>
      <c r="G5" s="24">
        <v>51205381</v>
      </c>
      <c r="H5" s="14" t="s">
        <v>3</v>
      </c>
      <c r="I5" s="1"/>
    </row>
    <row r="6" spans="1:9" x14ac:dyDescent="0.25">
      <c r="A6" s="1"/>
      <c r="B6" s="103" t="s">
        <v>61</v>
      </c>
      <c r="C6" s="104"/>
      <c r="D6" s="104"/>
      <c r="E6" s="104"/>
      <c r="F6" s="105"/>
      <c r="G6" s="24">
        <f>G5*'Fane 14. Nøgletal'!C19</f>
        <v>465968.96710000001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2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51627351.74347575</v>
      </c>
      <c r="H10" s="14" t="s">
        <v>3</v>
      </c>
      <c r="I10" s="1"/>
    </row>
    <row r="11" spans="1:9" x14ac:dyDescent="0.25">
      <c r="A11" s="1"/>
      <c r="B11" s="103" t="s">
        <v>147</v>
      </c>
      <c r="C11" s="104"/>
      <c r="D11" s="104"/>
      <c r="E11" s="104"/>
      <c r="F11" s="105"/>
      <c r="G11" s="24">
        <v>-292843.99243548943</v>
      </c>
      <c r="H11" s="14" t="s">
        <v>3</v>
      </c>
      <c r="I11" s="1"/>
    </row>
    <row r="12" spans="1:9" x14ac:dyDescent="0.25">
      <c r="A12" s="1"/>
      <c r="B12" s="106" t="s">
        <v>68</v>
      </c>
      <c r="C12" s="107"/>
      <c r="D12" s="107"/>
      <c r="E12" s="107"/>
      <c r="F12" s="108"/>
      <c r="G12" s="2">
        <v>0</v>
      </c>
      <c r="H12" s="14" t="s">
        <v>3</v>
      </c>
      <c r="I12" s="1"/>
    </row>
    <row r="13" spans="1:9" x14ac:dyDescent="0.2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908620.78719341254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2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51308339.985714167</v>
      </c>
      <c r="H17" s="14" t="s">
        <v>3</v>
      </c>
      <c r="I17" s="1"/>
    </row>
    <row r="18" spans="1:9" x14ac:dyDescent="0.25">
      <c r="A18" s="1"/>
      <c r="B18" s="106" t="s">
        <v>72</v>
      </c>
      <c r="C18" s="107"/>
      <c r="D18" s="107"/>
      <c r="E18" s="107"/>
      <c r="F18" s="108"/>
      <c r="G18" s="24">
        <v>113712.19001803997</v>
      </c>
      <c r="H18" s="14" t="s">
        <v>3</v>
      </c>
      <c r="I18" s="1"/>
    </row>
    <row r="19" spans="1:9" x14ac:dyDescent="0.2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909146.91380029777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2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51508009.495591976</v>
      </c>
      <c r="H23" s="14" t="s">
        <v>3</v>
      </c>
      <c r="I23" s="1"/>
    </row>
    <row r="24" spans="1:9" x14ac:dyDescent="0.25">
      <c r="A24" s="1"/>
      <c r="B24" s="106" t="s">
        <v>76</v>
      </c>
      <c r="C24" s="107"/>
      <c r="D24" s="107"/>
      <c r="E24" s="107"/>
      <c r="F24" s="108"/>
      <c r="G24" s="24">
        <v>1072191.92819411</v>
      </c>
      <c r="H24" s="14" t="s">
        <v>3</v>
      </c>
      <c r="I24" s="1"/>
    </row>
    <row r="25" spans="1:9" x14ac:dyDescent="0.2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1493277.7204355251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2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52093336.100306578</v>
      </c>
      <c r="H29" s="14" t="s">
        <v>3</v>
      </c>
      <c r="I29" s="1"/>
    </row>
    <row r="30" spans="1:9" x14ac:dyDescent="0.25">
      <c r="A30" s="1"/>
      <c r="B30" s="103" t="s">
        <v>176</v>
      </c>
      <c r="C30" s="104"/>
      <c r="D30" s="104"/>
      <c r="E30" s="104"/>
      <c r="F30" s="105"/>
      <c r="G30" s="24">
        <v>17783.094215879999</v>
      </c>
      <c r="H30" s="14" t="s">
        <v>3</v>
      </c>
      <c r="I30" s="1"/>
    </row>
    <row r="31" spans="1:9" x14ac:dyDescent="0.2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1479939.7803396438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2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50798262.306249619</v>
      </c>
      <c r="H35" s="14" t="s">
        <v>3</v>
      </c>
      <c r="I35" s="1"/>
    </row>
    <row r="36" spans="1:9" x14ac:dyDescent="0.25">
      <c r="A36" s="1"/>
      <c r="B36" s="103" t="s">
        <v>240</v>
      </c>
      <c r="C36" s="104"/>
      <c r="D36" s="104"/>
      <c r="E36" s="104"/>
      <c r="F36" s="105"/>
      <c r="G36" s="24">
        <f>SUM('Fane 2.1. Økonomisk ramme 2022'!C11,'Fane 2.1. Økonomisk ramme 2022'!C13,'Fane 2.1. Økonomisk ramme 2022'!C15)*(1+'Fane 14. Nøgletal'!C14)</f>
        <v>79721.569266220016</v>
      </c>
      <c r="H36" s="14" t="s">
        <v>3</v>
      </c>
      <c r="I36" s="1"/>
    </row>
    <row r="37" spans="1:9" x14ac:dyDescent="0.2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752994.16135763447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2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50290402.180214934</v>
      </c>
      <c r="H41" s="14" t="s">
        <v>3</v>
      </c>
      <c r="I41" s="1"/>
    </row>
    <row r="42" spans="1:9" x14ac:dyDescent="0.25">
      <c r="A42" s="1"/>
      <c r="B42" s="47" t="s">
        <v>242</v>
      </c>
      <c r="C42" s="62"/>
      <c r="D42" s="62"/>
      <c r="E42" s="62"/>
      <c r="F42" s="63"/>
      <c r="G42" s="24">
        <f>G36*(1+'Fane 14. Nøgletal'!C14)</f>
        <v>79984.65044479855</v>
      </c>
      <c r="H42" s="14" t="s">
        <v>3</v>
      </c>
      <c r="I42" s="1"/>
    </row>
    <row r="43" spans="1:9" x14ac:dyDescent="0.25">
      <c r="A43" s="1"/>
      <c r="B43" s="103" t="s">
        <v>101</v>
      </c>
      <c r="C43" s="104"/>
      <c r="D43" s="104"/>
      <c r="E43" s="104"/>
      <c r="F43" s="105"/>
      <c r="G43" s="2">
        <f>-'Fane 13. Bortfald'!E18*(1+'Fane 14. Nøgletal'!C14)</f>
        <v>0</v>
      </c>
      <c r="H43" s="14" t="s">
        <v>3</v>
      </c>
      <c r="I43" s="1"/>
    </row>
    <row r="44" spans="1:9" x14ac:dyDescent="0.2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744297.95226718101</v>
      </c>
      <c r="H44" s="14" t="s">
        <v>3</v>
      </c>
      <c r="I44" s="1"/>
    </row>
    <row r="45" spans="1:9" x14ac:dyDescent="0.2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2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49709606.371899985</v>
      </c>
      <c r="H53" s="14" t="s">
        <v>3</v>
      </c>
      <c r="I53" s="1"/>
    </row>
    <row r="54" spans="1:9" x14ac:dyDescent="0.25">
      <c r="A54" s="1"/>
      <c r="B54" s="103" t="s">
        <v>183</v>
      </c>
      <c r="C54" s="104"/>
      <c r="D54" s="104"/>
      <c r="E54" s="104"/>
      <c r="F54" s="105"/>
      <c r="G54" s="2">
        <f>-'Fane 13. Bortfald'!E24*(1+'Fane 14. Nøgletal'!C13)</f>
        <v>0</v>
      </c>
      <c r="H54" s="14" t="s">
        <v>3</v>
      </c>
      <c r="I54" s="1"/>
    </row>
    <row r="55" spans="1:9" x14ac:dyDescent="0.2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735702.17430411978</v>
      </c>
      <c r="H55" s="14" t="s">
        <v>3</v>
      </c>
      <c r="I55" s="1"/>
    </row>
    <row r="56" spans="1:9" x14ac:dyDescent="0.2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2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49135518.081447937</v>
      </c>
      <c r="H59" s="14" t="s">
        <v>3</v>
      </c>
      <c r="I59" s="1"/>
    </row>
    <row r="60" spans="1:9" x14ac:dyDescent="0.25">
      <c r="A60" s="1"/>
      <c r="B60" s="103" t="s">
        <v>256</v>
      </c>
      <c r="C60" s="104"/>
      <c r="D60" s="104"/>
      <c r="E60" s="104"/>
      <c r="F60" s="105"/>
      <c r="G60" s="2">
        <f>-'Fane 13. Bortfald'!E30*(1+'Fane 14. Nøgletal'!C14)</f>
        <v>0</v>
      </c>
      <c r="H60" s="14" t="s">
        <v>3</v>
      </c>
      <c r="I60" s="1"/>
    </row>
    <row r="61" spans="1:9" x14ac:dyDescent="0.2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727205.66760542954</v>
      </c>
      <c r="H61" s="14" t="s">
        <v>3</v>
      </c>
      <c r="I61" s="1"/>
    </row>
    <row r="62" spans="1:9" x14ac:dyDescent="0.2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2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/MtR1fC5RFO/1eqFUnurAYdWrYVk7KRRTgziXg3eLFuAdDk/CraZstDZaZIU10lIPtVQS07pln+D/sJrPSKNnQ==" saltValue="f9ggv55ctX15YQ6X2yOOz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25">
      <c r="A9" s="1"/>
      <c r="B9" s="103" t="s">
        <v>243</v>
      </c>
      <c r="C9" s="104"/>
      <c r="D9" s="104"/>
      <c r="E9" s="104"/>
      <c r="F9" s="105"/>
      <c r="G9" s="23">
        <v>3.6767661863637046E-3</v>
      </c>
      <c r="H9" s="14"/>
      <c r="I9" s="1"/>
    </row>
    <row r="10" spans="1:9" x14ac:dyDescent="0.25">
      <c r="A10" s="1"/>
      <c r="B10" s="103" t="s">
        <v>86</v>
      </c>
      <c r="C10" s="104"/>
      <c r="D10" s="104"/>
      <c r="E10" s="104"/>
      <c r="F10" s="105"/>
      <c r="G10" s="23">
        <v>1.0680207734851588E-2</v>
      </c>
      <c r="H10" s="14"/>
      <c r="I10" s="1"/>
    </row>
    <row r="11" spans="1:9" x14ac:dyDescent="0.25">
      <c r="A11" s="1"/>
      <c r="B11" s="103" t="s">
        <v>87</v>
      </c>
      <c r="C11" s="104"/>
      <c r="D11" s="104"/>
      <c r="E11" s="104"/>
      <c r="F11" s="105"/>
      <c r="G11" s="41">
        <v>0</v>
      </c>
      <c r="H11" s="14"/>
      <c r="I11" s="1"/>
    </row>
    <row r="12" spans="1:9" x14ac:dyDescent="0.25">
      <c r="A12" s="1"/>
      <c r="B12" s="103" t="s">
        <v>206</v>
      </c>
      <c r="C12" s="104"/>
      <c r="D12" s="104"/>
      <c r="E12" s="104"/>
      <c r="F12" s="105"/>
      <c r="G12" s="41">
        <v>0</v>
      </c>
      <c r="H12" s="46"/>
      <c r="I12" s="1"/>
    </row>
    <row r="13" spans="1:9" x14ac:dyDescent="0.2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2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2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vfaTuphSpbL54TVlphzxT1WhKrAwnace6xqIv2P1KqkdewEwZtMcZ9oDn6/FoAozgoJegX6qr2sJTw4OC9ujg==" saltValue="NdkRORwHiA3PwETUvk6quw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Cramer Calonius Hoffgaard</cp:lastModifiedBy>
  <cp:lastPrinted>2016-06-14T12:57:30Z</cp:lastPrinted>
  <dcterms:created xsi:type="dcterms:W3CDTF">2016-06-02T08:51:18Z</dcterms:created>
  <dcterms:modified xsi:type="dcterms:W3CDTF">2021-10-14T14:25:07Z</dcterms:modified>
</cp:coreProperties>
</file>