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Ballerup AS (V19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5" i="19" l="1"/>
  <c r="E31" i="32" l="1"/>
  <c r="E16" i="27" l="1"/>
  <c r="E10" i="11" l="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11" i="1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<sst xmlns="http://schemas.openxmlformats.org/spreadsheetml/2006/main" count="592" uniqueCount="248">
  <si>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</si>
  <si>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</si>
  <si>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</si>
  <si>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</si>
  <si>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</si>
  <si>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</si>
  <si>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</si>
  <si>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</si>
  <si>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</si>
  <si>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</si>
  <si>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</si>
  <si>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</si>
  <si>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</si>
  <si>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</si>
  <si>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</si>
  <si>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</si>
  <si>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</si>
  <si>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</si>
  <si>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</si>
  <si>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</si>
  <si>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</si>
  <si>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</si>
  <si>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</si>
  <si>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</si>
  <si>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</si>
  <si>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</si>
  <si>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</si>
  <si>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</si>
  <si>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</si>
  <si>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</si>
  <si>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</si>
  <si>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</si>
  <si>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</si>
  <si>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</si>
  <si>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</si>
  <si>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</si>
  <si>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</si>
  <si>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</si>
  <si>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</si>
  <si>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</si>
  <si>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</si>
  <si>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</si>
  <si>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</si>
  <si>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</si>
  <si>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</si>
  <si>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</si>
  <si>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</si>
  <si>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</si>
  <si>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</si>
  <si>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</si>
  <si>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</si>
  <si>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</si>
  <si>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</si>
  <si>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</si>
  <si>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</si>
  <si>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</si>
  <si>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</si>
  <si>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</si>
  <si>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</si>
  <si>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</si>
  <si>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</si>
  <si>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</si>
  <si>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</si>
  <si>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</si>
  <si>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</si>
  <si>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</si>
  <si>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</si>
  <si>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</si>
  <si>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</si>
  <si>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</si>
  <si>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</si>
  <si>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</si>
  <si>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</si>
  <si>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</si>
  <si>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</si>
  <si>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</si>
  <si>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</si>
  <si>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</si>
  <si>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</si>
  <si>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</si>
  <si>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</si>
  <si>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</si>
  <si>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</si>
  <si>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</si>
  <si>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</si>
  <si>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</si>
  <si>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</si>
  <si>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</si>
  <si>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</si>
  <si>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</si>
  <si>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</si>
  <si>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</si>
  <si>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</si>
  <si>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</si>
  <si>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</si>
  <si>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</si>
  <si>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</si>
  <si>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</si>
  <si>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</si>
  <si>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</si>
  <si>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</si>
  <si>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</si>
  <si>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</si>
  <si>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</si>
  <si>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</si>
  <si>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</si>
  <si>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</si>
  <si>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</si>
  <si>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</si>
  <si>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</si>
  <si>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</si>
  <si>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</si>
  <si>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</si>
  <si>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</si>
  <si>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</si>
  <si>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</si>
  <si>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</si>
  <si>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</si>
  <si>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</si>
  <si>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</si>
  <si>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</si>
  <si>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</si>
  <si>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</si>
  <si>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</si>
  <si>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</si>
  <si>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</si>
  <si>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</si>
  <si>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</si>
  <si>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</si>
  <si>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</si>
  <si>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</si>
  <si>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</si>
  <si>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</si>
  <si>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</si>
  <si>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</si>
  <si>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</si>
  <si>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</si>
  <si>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</si>
  <si>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</si>
  <si>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</si>
  <si>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</si>
  <si>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</si>
  <si>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</si>
  <si>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</si>
  <si>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</si>
  <si>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</si>
  <si>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</si>
  <si>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</si>
  <si>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</si>
  <si>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</si>
  <si>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</si>
  <si>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</si>
  <si>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</si>
  <si>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</si>
  <si>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</si>
  <si>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</si>
  <si>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</si>
  <si>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</si>
  <si>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</si>
  <si>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</si>
  <si>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</si>
  <si>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</si>
  <si>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</si>
  <si>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</si>
  <si>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</si>
  <si>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</si>
  <si>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</si>
  <si>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</si>
  <si>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</si>
  <si>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</si>
  <si>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</si>
  <si>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</si>
  <si>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</si>
  <si>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</si>
  <si>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</si>
  <si>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</si>
  <si>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</si>
  <si>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</si>
  <si>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</si>
  <si>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</si>
  <si>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</si>
  <si>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</si>
  <si>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</si>
  <si>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</si>
  <si>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</si>
  <si>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</si>
  <si>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</si>
  <si>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</si>
  <si>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</si>
  <si>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</si>
  <si>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</si>
  <si>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</si>
  <si>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</si>
  <si>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</si>
  <si>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</si>
  <si>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</si>
  <si>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</si>
  <si>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</si>
  <si>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</si>
  <si>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</si>
  <si>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</si>
  <si>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</si>
  <si>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</si>
  <si>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</si>
  <si>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</si>
  <si>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</si>
  <si>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</si>
  <si>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</si>
  <si>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</si>
  <si>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</si>
  <si>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</si>
  <si>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</si>
  <si>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</si>
  <si>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</si>
  <si>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</si>
  <si>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</si>
  <si>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</si>
  <si>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</si>
  <si>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</si>
  <si>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</si>
  <si>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</si>
  <si>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</si>
  <si>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</si>
  <si>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</si>
  <si>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</si>
  <si>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</si>
  <si>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</si>
  <si>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</si>
  <si>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</si>
  <si>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</si>
  <si>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</si>
  <si>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</si>
  <si>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</si>
  <si>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</si>
  <si>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</si>
  <si>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</si>
  <si>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</si>
  <si>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</si>
  <si>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</si>
  <si>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Ingen tilknyttet virksomhed</t>
  </si>
  <si>
    <t>Ingen bortfald eller nedsættelse</t>
  </si>
  <si>
    <t xml:space="preserve">Udvidelse af forsyningsområde </t>
  </si>
  <si>
    <t xml:space="preserve">Ingen engangstillæg </t>
  </si>
  <si>
    <t>Økonomisk ramme for 2024</t>
  </si>
  <si>
    <t>Yderligere opkrævningsret efter § 17, stk. 10 - 2017</t>
  </si>
  <si>
    <t>Yderligere opkrævningsret efter § 17, stk. 10 - 2018</t>
  </si>
  <si>
    <t>Ledningsnet &gt; Ø 500 mm</t>
  </si>
  <si>
    <t>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</si>
</sst>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7" t="s">
        <v>4</v>
      </c>
      <c r="E6" s="57"/>
      <c r="F6" s="57"/>
      <c r="G6" s="57"/>
      <c r="H6" s="3"/>
      <c r="I6" s="1"/>
    </row>
    <row r="7" spans="1:9" ht="15" customHeight="1" x14ac:dyDescent="0.45">
      <c r="A7" s="1"/>
      <c r="B7" s="1"/>
      <c r="C7" s="3"/>
      <c r="D7" s="57"/>
      <c r="E7" s="57"/>
      <c r="F7" s="57"/>
      <c r="G7" s="57"/>
      <c r="H7" s="3"/>
      <c r="I7" s="1"/>
    </row>
    <row r="8" spans="1:9" ht="15.75" x14ac:dyDescent="0.5">
      <c r="A8" s="1"/>
      <c r="B8" s="1"/>
      <c r="C8" s="4"/>
      <c r="D8" s="62" t="s">
        <v>206</v>
      </c>
      <c r="E8" s="62"/>
      <c r="F8" s="62"/>
      <c r="G8" s="62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4" t="s">
        <v>151</v>
      </c>
      <c r="E13" s="55"/>
      <c r="F13" s="55"/>
      <c r="G13" s="56"/>
      <c r="H13" s="1"/>
      <c r="I13" s="1"/>
    </row>
    <row r="14" spans="1:9" x14ac:dyDescent="0.45">
      <c r="A14" s="1"/>
      <c r="B14" s="1"/>
      <c r="C14" s="6" t="s">
        <v>15</v>
      </c>
      <c r="D14" s="54" t="s">
        <v>207</v>
      </c>
      <c r="E14" s="55"/>
      <c r="F14" s="55"/>
      <c r="G14" s="56"/>
      <c r="H14" s="1"/>
      <c r="I14" s="1"/>
    </row>
    <row r="15" spans="1:9" x14ac:dyDescent="0.45">
      <c r="A15" s="1"/>
      <c r="B15" s="1"/>
      <c r="C15" s="6" t="s">
        <v>40</v>
      </c>
      <c r="D15" s="54" t="s">
        <v>93</v>
      </c>
      <c r="E15" s="55"/>
      <c r="F15" s="55"/>
      <c r="G15" s="56"/>
      <c r="H15" s="1"/>
      <c r="I15" s="1"/>
    </row>
    <row r="16" spans="1:9" x14ac:dyDescent="0.45">
      <c r="A16" s="1"/>
      <c r="B16" s="1"/>
      <c r="C16" s="6" t="s">
        <v>41</v>
      </c>
      <c r="D16" s="54" t="s">
        <v>152</v>
      </c>
      <c r="E16" s="55"/>
      <c r="F16" s="55"/>
      <c r="G16" s="56"/>
      <c r="H16" s="1"/>
      <c r="I16" s="1"/>
    </row>
    <row r="17" spans="1:9" x14ac:dyDescent="0.45">
      <c r="A17" s="1"/>
      <c r="B17" s="1"/>
      <c r="C17" s="6" t="s">
        <v>150</v>
      </c>
      <c r="D17" s="54" t="s">
        <v>153</v>
      </c>
      <c r="E17" s="55"/>
      <c r="F17" s="55"/>
      <c r="G17" s="56"/>
      <c r="H17" s="1"/>
      <c r="I17" s="1"/>
    </row>
    <row r="18" spans="1:9" x14ac:dyDescent="0.45">
      <c r="A18" s="1"/>
      <c r="B18" s="1"/>
      <c r="C18" s="33" t="s">
        <v>134</v>
      </c>
      <c r="D18" s="63" t="s">
        <v>114</v>
      </c>
      <c r="E18" s="64"/>
      <c r="F18" s="64"/>
      <c r="G18" s="65"/>
      <c r="H18" s="1"/>
      <c r="I18" s="1"/>
    </row>
    <row r="19" spans="1:9" x14ac:dyDescent="0.45">
      <c r="A19" s="1"/>
      <c r="B19" s="1"/>
      <c r="C19" s="33" t="s">
        <v>135</v>
      </c>
      <c r="D19" s="63" t="s">
        <v>115</v>
      </c>
      <c r="E19" s="64"/>
      <c r="F19" s="64"/>
      <c r="G19" s="65"/>
      <c r="H19" s="1"/>
      <c r="I19" s="1"/>
    </row>
    <row r="20" spans="1:9" x14ac:dyDescent="0.45">
      <c r="A20" s="1"/>
      <c r="B20" s="1"/>
      <c r="C20" s="33" t="s">
        <v>7</v>
      </c>
      <c r="D20" s="63" t="s">
        <v>9</v>
      </c>
      <c r="E20" s="64"/>
      <c r="F20" s="64"/>
      <c r="G20" s="65"/>
      <c r="H20" s="1"/>
      <c r="I20" s="1"/>
    </row>
    <row r="21" spans="1:9" x14ac:dyDescent="0.45">
      <c r="A21" s="1"/>
      <c r="B21" s="1"/>
      <c r="C21" s="6" t="s">
        <v>136</v>
      </c>
      <c r="D21" s="69" t="s">
        <v>12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97</v>
      </c>
      <c r="D22" s="58" t="s">
        <v>154</v>
      </c>
      <c r="E22" s="59"/>
      <c r="F22" s="59"/>
      <c r="G22" s="60"/>
      <c r="H22" s="1"/>
      <c r="I22" s="1"/>
    </row>
    <row r="23" spans="1:9" x14ac:dyDescent="0.45">
      <c r="A23" s="1"/>
      <c r="B23" s="1"/>
      <c r="C23" s="6" t="s">
        <v>8</v>
      </c>
      <c r="D23" s="58" t="s">
        <v>42</v>
      </c>
      <c r="E23" s="59"/>
      <c r="F23" s="59"/>
      <c r="G23" s="60"/>
      <c r="H23" s="1"/>
      <c r="I23" s="1"/>
    </row>
    <row r="24" spans="1:9" x14ac:dyDescent="0.45">
      <c r="A24" s="1"/>
      <c r="B24" s="1"/>
      <c r="C24" s="6" t="s">
        <v>217</v>
      </c>
      <c r="D24" s="58" t="s">
        <v>98</v>
      </c>
      <c r="E24" s="59"/>
      <c r="F24" s="59"/>
      <c r="G24" s="60"/>
      <c r="H24" s="1"/>
      <c r="I24" s="1"/>
    </row>
    <row r="25" spans="1:9" x14ac:dyDescent="0.45">
      <c r="A25" s="1"/>
      <c r="B25" s="1"/>
      <c r="C25" s="6" t="s">
        <v>218</v>
      </c>
      <c r="D25" s="58" t="s">
        <v>99</v>
      </c>
      <c r="E25" s="59"/>
      <c r="F25" s="59"/>
      <c r="G25" s="60"/>
      <c r="H25" s="1"/>
      <c r="I25" s="1"/>
    </row>
    <row r="26" spans="1:9" x14ac:dyDescent="0.45">
      <c r="A26" s="1"/>
      <c r="B26" s="1"/>
      <c r="C26" s="6" t="s">
        <v>219</v>
      </c>
      <c r="D26" s="58" t="s">
        <v>155</v>
      </c>
      <c r="E26" s="59"/>
      <c r="F26" s="59"/>
      <c r="G26" s="60"/>
      <c r="H26" s="1"/>
      <c r="I26" s="1"/>
    </row>
    <row r="27" spans="1:9" x14ac:dyDescent="0.45">
      <c r="A27" s="1"/>
      <c r="B27" s="1"/>
      <c r="C27" s="6" t="s">
        <v>137</v>
      </c>
      <c r="D27" s="58" t="s">
        <v>43</v>
      </c>
      <c r="E27" s="59"/>
      <c r="F27" s="59"/>
      <c r="G27" s="60"/>
      <c r="H27" s="1"/>
      <c r="I27" s="1"/>
    </row>
    <row r="28" spans="1:9" x14ac:dyDescent="0.45">
      <c r="A28" s="1"/>
      <c r="B28" s="1"/>
      <c r="C28" s="6" t="s">
        <v>128</v>
      </c>
      <c r="D28" s="66" t="s">
        <v>129</v>
      </c>
      <c r="E28" s="67"/>
      <c r="F28" s="67"/>
      <c r="G28" s="68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140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168</v>
      </c>
      <c r="C8" s="96"/>
      <c r="D8" s="97"/>
      <c r="E8" s="1"/>
      <c r="F8" s="1"/>
    </row>
    <row r="9" spans="1:6" ht="15" customHeight="1" x14ac:dyDescent="0.45">
      <c r="A9" s="1"/>
      <c r="B9" s="48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51" t="s">
        <v>234</v>
      </c>
      <c r="C10" s="9">
        <v>20204627</v>
      </c>
      <c r="D10" s="14" t="s">
        <v>3</v>
      </c>
      <c r="E10" s="1"/>
      <c r="F10" s="1"/>
    </row>
    <row r="11" spans="1:6" ht="15" customHeight="1" x14ac:dyDescent="0.45">
      <c r="A11" s="1"/>
      <c r="B11" s="51" t="s">
        <v>235</v>
      </c>
      <c r="C11" s="9">
        <v>91698</v>
      </c>
      <c r="D11" s="14" t="s">
        <v>3</v>
      </c>
      <c r="E11" s="1"/>
      <c r="F11" s="1"/>
    </row>
    <row r="12" spans="1:6" x14ac:dyDescent="0.45">
      <c r="A12" s="1"/>
      <c r="B12" s="51" t="s">
        <v>236</v>
      </c>
      <c r="C12" s="9">
        <v>8303315</v>
      </c>
      <c r="D12" s="14" t="s">
        <v>3</v>
      </c>
      <c r="E12" s="1"/>
      <c r="F12" s="1"/>
    </row>
    <row r="13" spans="1:6" x14ac:dyDescent="0.45">
      <c r="A13" s="1"/>
      <c r="B13" s="51" t="s">
        <v>237</v>
      </c>
      <c r="C13" s="9">
        <v>151095</v>
      </c>
      <c r="D13" s="14" t="s">
        <v>3</v>
      </c>
      <c r="E13" s="1"/>
      <c r="F13" s="1"/>
    </row>
    <row r="14" spans="1:6" x14ac:dyDescent="0.45">
      <c r="A14" s="1"/>
      <c r="B14" s="51" t="s">
        <v>238</v>
      </c>
      <c r="C14" s="9">
        <v>1460938</v>
      </c>
      <c r="D14" s="14" t="s">
        <v>3</v>
      </c>
      <c r="E14" s="1"/>
      <c r="F14" s="1"/>
    </row>
    <row r="15" spans="1:6" x14ac:dyDescent="0.45">
      <c r="A15" s="1"/>
      <c r="B15" s="43" t="s">
        <v>169</v>
      </c>
      <c r="C15" s="12">
        <f>SUM(C10:C14)</f>
        <v>30211673</v>
      </c>
      <c r="D15" s="13" t="s">
        <v>3</v>
      </c>
      <c r="E15" s="1"/>
      <c r="F15" s="1"/>
    </row>
    <row r="16" spans="1:6" x14ac:dyDescent="0.45">
      <c r="A16" s="1"/>
      <c r="B16" s="43" t="s">
        <v>170</v>
      </c>
      <c r="C16" s="12">
        <f>C15*(1+'Fane 12. Nøgletal'!C13)^2</f>
        <v>30953334.52660932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91" t="s">
        <v>172</v>
      </c>
      <c r="C2" s="91"/>
      <c r="D2" s="91"/>
      <c r="E2" s="91"/>
      <c r="F2" s="91"/>
      <c r="G2" s="1"/>
    </row>
    <row r="3" spans="1:7" ht="15" customHeight="1" x14ac:dyDescent="0.45">
      <c r="A3" s="1"/>
      <c r="B3" s="91"/>
      <c r="C3" s="91"/>
      <c r="D3" s="91"/>
      <c r="E3" s="91"/>
      <c r="F3" s="91"/>
      <c r="G3" s="1"/>
    </row>
    <row r="4" spans="1:7" ht="15" customHeight="1" x14ac:dyDescent="0.45">
      <c r="A4" s="1"/>
      <c r="B4" s="95" t="s">
        <v>39</v>
      </c>
      <c r="C4" s="96"/>
      <c r="D4" s="96"/>
      <c r="E4" s="96"/>
      <c r="F4" s="97"/>
      <c r="G4" s="1"/>
    </row>
    <row r="5" spans="1:7" ht="15" customHeight="1" x14ac:dyDescent="0.45">
      <c r="A5" s="1"/>
      <c r="B5" s="98" t="s">
        <v>37</v>
      </c>
      <c r="C5" s="99"/>
      <c r="D5" s="100"/>
      <c r="E5" s="9">
        <v>365306.36666666693</v>
      </c>
      <c r="F5" s="14" t="s">
        <v>3</v>
      </c>
      <c r="G5" s="1"/>
    </row>
    <row r="6" spans="1:7" ht="15" customHeight="1" x14ac:dyDescent="0.45">
      <c r="A6" s="1"/>
      <c r="B6" s="98" t="s">
        <v>38</v>
      </c>
      <c r="C6" s="99"/>
      <c r="D6" s="100"/>
      <c r="E6" s="9">
        <v>1052387.7792134956</v>
      </c>
      <c r="F6" s="14" t="s">
        <v>3</v>
      </c>
      <c r="G6" s="1"/>
    </row>
    <row r="7" spans="1:7" ht="15" customHeight="1" x14ac:dyDescent="0.45">
      <c r="A7" s="1"/>
      <c r="B7" s="106" t="s">
        <v>131</v>
      </c>
      <c r="C7" s="107"/>
      <c r="D7" s="108"/>
      <c r="E7" s="10">
        <f>SUM(E5:E6)</f>
        <v>1417694.1458801625</v>
      </c>
      <c r="F7" s="17" t="s">
        <v>3</v>
      </c>
      <c r="G7" s="1"/>
    </row>
    <row r="8" spans="1:7" ht="15" customHeight="1" x14ac:dyDescent="0.45">
      <c r="A8" s="1"/>
      <c r="B8" s="43"/>
      <c r="C8" s="44"/>
      <c r="D8" s="44"/>
      <c r="E8" s="44"/>
      <c r="F8" s="20"/>
      <c r="G8" s="1"/>
    </row>
    <row r="9" spans="1:7" ht="28.5" customHeight="1" x14ac:dyDescent="0.45">
      <c r="A9" s="1"/>
      <c r="B9" s="74" t="s">
        <v>132</v>
      </c>
      <c r="C9" s="75"/>
      <c r="D9" s="75"/>
      <c r="E9" s="75"/>
      <c r="F9" s="76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95" t="s">
        <v>116</v>
      </c>
      <c r="C11" s="96"/>
      <c r="D11" s="96"/>
      <c r="E11" s="96"/>
      <c r="F11" s="97"/>
      <c r="G11" s="1"/>
    </row>
    <row r="12" spans="1:7" x14ac:dyDescent="0.45">
      <c r="A12" s="1"/>
      <c r="B12" s="98" t="s">
        <v>117</v>
      </c>
      <c r="C12" s="99"/>
      <c r="D12" s="100"/>
      <c r="E12" s="9">
        <v>51409709.726655461</v>
      </c>
      <c r="F12" s="14" t="s">
        <v>3</v>
      </c>
      <c r="G12" s="1"/>
    </row>
    <row r="13" spans="1:7" x14ac:dyDescent="0.45">
      <c r="A13" s="1"/>
      <c r="B13" s="98" t="s">
        <v>118</v>
      </c>
      <c r="C13" s="99"/>
      <c r="D13" s="100"/>
      <c r="E13" s="9">
        <v>52151475</v>
      </c>
      <c r="F13" s="14" t="s">
        <v>3</v>
      </c>
      <c r="G13" s="1"/>
    </row>
    <row r="14" spans="1:7" x14ac:dyDescent="0.45">
      <c r="A14" s="1"/>
      <c r="B14" s="98" t="s">
        <v>36</v>
      </c>
      <c r="C14" s="99"/>
      <c r="D14" s="100"/>
      <c r="E14" s="9">
        <v>0</v>
      </c>
      <c r="F14" s="14" t="s">
        <v>3</v>
      </c>
      <c r="G14" s="1"/>
    </row>
    <row r="15" spans="1:7" x14ac:dyDescent="0.45">
      <c r="A15" s="1"/>
      <c r="B15" s="106" t="s">
        <v>208</v>
      </c>
      <c r="C15" s="107"/>
      <c r="D15" s="108"/>
      <c r="E15" s="10">
        <f>E12-(E13-E14)</f>
        <v>-741765.27334453911</v>
      </c>
      <c r="F15" s="17" t="s">
        <v>3</v>
      </c>
      <c r="G15" s="1"/>
    </row>
    <row r="16" spans="1:7" x14ac:dyDescent="0.45">
      <c r="A16" s="1"/>
      <c r="B16" s="43"/>
      <c r="C16" s="44"/>
      <c r="D16" s="44"/>
      <c r="E16" s="44"/>
      <c r="F16" s="20"/>
      <c r="G16" s="1"/>
    </row>
    <row r="17" spans="1:7" ht="30" customHeight="1" x14ac:dyDescent="0.45">
      <c r="A17" s="1"/>
      <c r="B17" s="74" t="s">
        <v>133</v>
      </c>
      <c r="C17" s="75"/>
      <c r="D17" s="75"/>
      <c r="E17" s="75"/>
      <c r="F17" s="76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95" t="s">
        <v>50</v>
      </c>
      <c r="C19" s="96"/>
      <c r="D19" s="96"/>
      <c r="E19" s="96"/>
      <c r="F19" s="97"/>
      <c r="G19" s="1"/>
    </row>
    <row r="20" spans="1:7" x14ac:dyDescent="0.45">
      <c r="A20" s="1"/>
      <c r="B20" s="98" t="s">
        <v>51</v>
      </c>
      <c r="C20" s="99"/>
      <c r="D20" s="100"/>
      <c r="E20" s="9">
        <v>56890521.842066593</v>
      </c>
      <c r="F20" s="14" t="s">
        <v>3</v>
      </c>
      <c r="G20" s="1"/>
    </row>
    <row r="21" spans="1:7" x14ac:dyDescent="0.45">
      <c r="A21" s="1"/>
      <c r="B21" s="98" t="s">
        <v>52</v>
      </c>
      <c r="C21" s="99"/>
      <c r="D21" s="100"/>
      <c r="E21" s="9">
        <v>56820519</v>
      </c>
      <c r="F21" s="14" t="s">
        <v>3</v>
      </c>
      <c r="G21" s="1"/>
    </row>
    <row r="22" spans="1:7" x14ac:dyDescent="0.45">
      <c r="A22" s="1"/>
      <c r="B22" s="98" t="s">
        <v>36</v>
      </c>
      <c r="C22" s="99"/>
      <c r="D22" s="100"/>
      <c r="E22" s="9">
        <v>0</v>
      </c>
      <c r="F22" s="14" t="s">
        <v>3</v>
      </c>
      <c r="G22" s="1"/>
    </row>
    <row r="23" spans="1:7" x14ac:dyDescent="0.45">
      <c r="A23" s="1"/>
      <c r="B23" s="106" t="s">
        <v>209</v>
      </c>
      <c r="C23" s="107"/>
      <c r="D23" s="108"/>
      <c r="E23" s="10">
        <f>E20-(E21-E22)</f>
        <v>70002.842066593468</v>
      </c>
      <c r="F23" s="17" t="s">
        <v>3</v>
      </c>
      <c r="G23" s="1"/>
    </row>
    <row r="24" spans="1:7" x14ac:dyDescent="0.45">
      <c r="A24" s="1"/>
      <c r="B24" s="43"/>
      <c r="C24" s="44"/>
      <c r="D24" s="44"/>
      <c r="E24" s="44"/>
      <c r="F24" s="20"/>
      <c r="G24" s="1"/>
    </row>
    <row r="25" spans="1:7" ht="28.5" customHeight="1" x14ac:dyDescent="0.45">
      <c r="A25" s="1"/>
      <c r="B25" s="74" t="s">
        <v>179</v>
      </c>
      <c r="C25" s="75"/>
      <c r="D25" s="75"/>
      <c r="E25" s="75"/>
      <c r="F25" s="76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95" t="s">
        <v>200</v>
      </c>
      <c r="C27" s="96"/>
      <c r="D27" s="96"/>
      <c r="E27" s="96"/>
      <c r="F27" s="97"/>
      <c r="G27" s="1"/>
    </row>
    <row r="28" spans="1:7" x14ac:dyDescent="0.45">
      <c r="A28" s="1"/>
      <c r="B28" s="98" t="s">
        <v>201</v>
      </c>
      <c r="C28" s="99"/>
      <c r="D28" s="100"/>
      <c r="E28" s="9">
        <v>56863192.022565886</v>
      </c>
      <c r="F28" s="14" t="s">
        <v>3</v>
      </c>
      <c r="G28" s="1"/>
    </row>
    <row r="29" spans="1:7" x14ac:dyDescent="0.45">
      <c r="A29" s="1"/>
      <c r="B29" s="98" t="s">
        <v>202</v>
      </c>
      <c r="C29" s="99"/>
      <c r="D29" s="100"/>
      <c r="E29" s="9">
        <v>57912537</v>
      </c>
      <c r="F29" s="14" t="s">
        <v>3</v>
      </c>
      <c r="G29" s="1"/>
    </row>
    <row r="30" spans="1:7" x14ac:dyDescent="0.45">
      <c r="A30" s="1"/>
      <c r="B30" s="98" t="s">
        <v>36</v>
      </c>
      <c r="C30" s="99"/>
      <c r="D30" s="100"/>
      <c r="E30" s="9">
        <v>0</v>
      </c>
      <c r="F30" s="14" t="s">
        <v>3</v>
      </c>
      <c r="G30" s="1"/>
    </row>
    <row r="31" spans="1:7" x14ac:dyDescent="0.45">
      <c r="A31" s="1"/>
      <c r="B31" s="106" t="s">
        <v>210</v>
      </c>
      <c r="C31" s="107"/>
      <c r="D31" s="108"/>
      <c r="E31" s="10">
        <f>E28-(E29-E30)</f>
        <v>-1049344.9774341136</v>
      </c>
      <c r="F31" s="17" t="s">
        <v>3</v>
      </c>
      <c r="G31" s="1"/>
    </row>
    <row r="32" spans="1:7" x14ac:dyDescent="0.45">
      <c r="A32" s="1"/>
      <c r="B32" s="43"/>
      <c r="C32" s="44"/>
      <c r="D32" s="44"/>
      <c r="E32" s="44"/>
      <c r="F32" s="20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95" t="s">
        <v>125</v>
      </c>
      <c r="C34" s="96"/>
      <c r="D34" s="96"/>
      <c r="E34" s="96"/>
      <c r="F34" s="97"/>
      <c r="G34" s="1"/>
    </row>
    <row r="35" spans="1:7" x14ac:dyDescent="0.45">
      <c r="A35" s="1"/>
      <c r="B35" s="109" t="s">
        <v>244</v>
      </c>
      <c r="C35" s="110"/>
      <c r="D35" s="111"/>
      <c r="E35" s="9">
        <v>0</v>
      </c>
      <c r="F35" s="14"/>
      <c r="G35" s="1"/>
    </row>
    <row r="36" spans="1:7" x14ac:dyDescent="0.45">
      <c r="A36" s="1"/>
      <c r="B36" s="109" t="s">
        <v>245</v>
      </c>
      <c r="C36" s="110"/>
      <c r="D36" s="111"/>
      <c r="E36" s="9">
        <v>1</v>
      </c>
      <c r="F36" s="14"/>
      <c r="G36" s="1"/>
    </row>
    <row r="37" spans="1:7" x14ac:dyDescent="0.45">
      <c r="A37" s="1"/>
      <c r="B37" s="109" t="s">
        <v>113</v>
      </c>
      <c r="C37" s="110"/>
      <c r="D37" s="111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-979342.13536752015</v>
      </c>
      <c r="F37" s="14" t="s">
        <v>3</v>
      </c>
      <c r="G37" s="1"/>
    </row>
    <row r="38" spans="1:7" x14ac:dyDescent="0.45">
      <c r="A38" s="1"/>
      <c r="B38" s="109" t="s">
        <v>130</v>
      </c>
      <c r="C38" s="110"/>
      <c r="D38" s="111"/>
      <c r="E38" s="9">
        <v>2</v>
      </c>
      <c r="F38" s="14" t="s">
        <v>19</v>
      </c>
      <c r="G38" s="1"/>
    </row>
    <row r="39" spans="1:7" ht="15" customHeight="1" x14ac:dyDescent="0.45">
      <c r="A39" s="1"/>
      <c r="B39" s="112" t="s">
        <v>203</v>
      </c>
      <c r="C39" s="112"/>
      <c r="D39" s="112"/>
      <c r="E39" s="10">
        <f>E37/E38</f>
        <v>-489671.06768376008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37"/>
      <c r="B44" s="37"/>
      <c r="C44" s="37"/>
      <c r="D44" s="37"/>
      <c r="E44" s="37"/>
      <c r="F44" s="37"/>
      <c r="G44" s="37"/>
    </row>
    <row r="45" spans="1:7" x14ac:dyDescent="0.45">
      <c r="A45" s="37"/>
      <c r="B45" s="37"/>
      <c r="C45" s="37"/>
      <c r="D45" s="37"/>
      <c r="E45" s="37"/>
      <c r="F45" s="37"/>
      <c r="G45" s="37"/>
    </row>
    <row r="46" spans="1:7" x14ac:dyDescent="0.45">
      <c r="A46" s="37"/>
      <c r="B46" s="37"/>
      <c r="C46" s="37"/>
      <c r="D46" s="37"/>
      <c r="E46" s="37"/>
      <c r="F46" s="37"/>
      <c r="G46" s="37"/>
    </row>
    <row r="47" spans="1:7" x14ac:dyDescent="0.45">
      <c r="A47" s="37"/>
      <c r="B47" s="37"/>
      <c r="C47" s="37"/>
      <c r="D47" s="37"/>
      <c r="E47" s="37"/>
      <c r="F47" s="37"/>
      <c r="G47" s="37"/>
    </row>
  </sheetData>
  <sheetProtection algorithmName="SHA-512" hashValue="EIiUeA55X9rmE3GRWpkTt2ZpphYy65mTm6tWwCCdJsifWCxxXutToxquHZ9F/BVsR+tWGH4gNd52diRUtYv6mw==" saltValue="qKvW3rrP1T/2U4VGTEdgmg==" spinCount="100000" sheet="1" objects="1" scenarios="1"/>
  <mergeCells count="30"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216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197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6"/>
      <c r="I9" s="1"/>
    </row>
    <row r="10" spans="1:9" x14ac:dyDescent="0.45">
      <c r="A10" s="1"/>
      <c r="B10" s="39" t="s">
        <v>246</v>
      </c>
      <c r="C10" s="40" t="s">
        <v>247</v>
      </c>
      <c r="D10" s="9">
        <v>8318702.1399999997</v>
      </c>
      <c r="E10" s="9">
        <f>IFERROR(D10/C10,0)</f>
        <v>110916.02853333333</v>
      </c>
      <c r="F10" s="9">
        <v>0</v>
      </c>
      <c r="G10" s="9">
        <v>135594.84</v>
      </c>
      <c r="H10" s="14" t="s">
        <v>3</v>
      </c>
      <c r="I10" s="1"/>
    </row>
    <row r="11" spans="1:9" x14ac:dyDescent="0.45">
      <c r="A11" s="1"/>
      <c r="B11" s="95" t="s">
        <v>198</v>
      </c>
      <c r="C11" s="96"/>
      <c r="D11" s="97"/>
      <c r="E11" s="12">
        <f>SUM(E10:E10)</f>
        <v>110916.02853333333</v>
      </c>
      <c r="F11" s="12">
        <f>SUM(F10:F10)</f>
        <v>0</v>
      </c>
      <c r="G11" s="12">
        <f>SUM(G10:G10)</f>
        <v>135594.84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215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94</v>
      </c>
      <c r="C8" s="44"/>
      <c r="D8" s="44"/>
      <c r="E8" s="44"/>
      <c r="F8" s="20"/>
      <c r="G8" s="1"/>
    </row>
    <row r="9" spans="1:7" ht="17.25" customHeight="1" x14ac:dyDescent="0.45">
      <c r="A9" s="1"/>
      <c r="B9" s="49" t="s">
        <v>16</v>
      </c>
      <c r="C9" s="49" t="s">
        <v>11</v>
      </c>
      <c r="D9" s="50"/>
      <c r="E9" s="49" t="s">
        <v>34</v>
      </c>
      <c r="F9" s="46"/>
      <c r="G9" s="1"/>
    </row>
    <row r="10" spans="1:7" x14ac:dyDescent="0.4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246510.86853333333</v>
      </c>
      <c r="F10" s="14" t="s">
        <v>3</v>
      </c>
      <c r="G10" s="1"/>
    </row>
    <row r="11" spans="1:7" x14ac:dyDescent="0.45">
      <c r="A11" s="1"/>
      <c r="B11" s="41" t="s">
        <v>241</v>
      </c>
      <c r="C11" s="22">
        <v>75544</v>
      </c>
      <c r="D11" s="14" t="s">
        <v>3</v>
      </c>
      <c r="E11" s="9">
        <v>38942</v>
      </c>
      <c r="F11" s="14" t="s">
        <v>3</v>
      </c>
      <c r="G11" s="1"/>
    </row>
    <row r="12" spans="1:7" x14ac:dyDescent="0.45">
      <c r="A12" s="1"/>
      <c r="B12" s="43" t="s">
        <v>48</v>
      </c>
      <c r="C12" s="12">
        <f>SUM(C10:C11)</f>
        <v>75544</v>
      </c>
      <c r="D12" s="13" t="s">
        <v>3</v>
      </c>
      <c r="E12" s="12">
        <f>SUM(E10:E11)</f>
        <v>285452.8685333333</v>
      </c>
      <c r="F12" s="13" t="s">
        <v>3</v>
      </c>
      <c r="G12" s="1"/>
    </row>
    <row r="13" spans="1:7" x14ac:dyDescent="0.45">
      <c r="A13" s="1"/>
      <c r="B13" s="43" t="s">
        <v>173</v>
      </c>
      <c r="C13" s="12">
        <f>C12*(1+'Fane 12. Nøgletal'!C13)</f>
        <v>76465.636799999993</v>
      </c>
      <c r="D13" s="13" t="s">
        <v>3</v>
      </c>
      <c r="E13" s="12">
        <f>E12*(1+'Fane 12. Nøgletal'!C13)</f>
        <v>288935.39352943999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boz2APhJ4KjGH+KI0mKdqw0d5xRWB0V4uBlFJwGRQf3D8HAJKweVTknFK633PP6vFtQEp67fg9eTo4aO+bPWeQ==" saltValue="Jlt0g4WOTPtPN2D3BOfV/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214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119</v>
      </c>
      <c r="C8" s="96"/>
      <c r="D8" s="96"/>
      <c r="E8" s="96"/>
      <c r="F8" s="97"/>
      <c r="G8" s="1"/>
    </row>
    <row r="9" spans="1:7" x14ac:dyDescent="0.45">
      <c r="A9" s="1"/>
      <c r="B9" s="49" t="s">
        <v>16</v>
      </c>
      <c r="C9" s="49" t="s">
        <v>11</v>
      </c>
      <c r="D9" s="50"/>
      <c r="E9" s="49" t="s">
        <v>34</v>
      </c>
      <c r="F9" s="46"/>
      <c r="G9" s="1"/>
    </row>
    <row r="10" spans="1:7" x14ac:dyDescent="0.45">
      <c r="A10" s="1"/>
      <c r="B10" s="25" t="s">
        <v>242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3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45">
      <c r="A14" s="1"/>
      <c r="B14" s="43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120</v>
      </c>
      <c r="C16" s="96"/>
      <c r="D16" s="96"/>
      <c r="E16" s="96"/>
      <c r="F16" s="97"/>
      <c r="G16" s="1"/>
    </row>
    <row r="17" spans="1:7" x14ac:dyDescent="0.45">
      <c r="A17" s="1"/>
      <c r="B17" s="49" t="s">
        <v>16</v>
      </c>
      <c r="C17" s="49" t="s">
        <v>11</v>
      </c>
      <c r="D17" s="50"/>
      <c r="E17" s="49" t="s">
        <v>34</v>
      </c>
      <c r="F17" s="46"/>
      <c r="G17" s="1"/>
    </row>
    <row r="18" spans="1:7" x14ac:dyDescent="0.45">
      <c r="A18" s="1"/>
      <c r="B18" s="25" t="s">
        <v>242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43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45">
      <c r="A22" s="1"/>
      <c r="B22" s="43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121</v>
      </c>
      <c r="C24" s="96"/>
      <c r="D24" s="96"/>
      <c r="E24" s="96"/>
      <c r="F24" s="97"/>
      <c r="G24" s="1"/>
    </row>
    <row r="25" spans="1:7" x14ac:dyDescent="0.45">
      <c r="A25" s="1"/>
      <c r="B25" s="49" t="s">
        <v>16</v>
      </c>
      <c r="C25" s="49" t="s">
        <v>11</v>
      </c>
      <c r="D25" s="50"/>
      <c r="E25" s="49" t="s">
        <v>34</v>
      </c>
      <c r="F25" s="46"/>
      <c r="G25" s="1"/>
    </row>
    <row r="26" spans="1:7" x14ac:dyDescent="0.45">
      <c r="A26" s="1"/>
      <c r="B26" s="25" t="s">
        <v>242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43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45">
      <c r="A30" s="1"/>
      <c r="B30" s="43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176</v>
      </c>
      <c r="C32" s="96"/>
      <c r="D32" s="96"/>
      <c r="E32" s="96"/>
      <c r="F32" s="97"/>
      <c r="G32" s="1"/>
    </row>
    <row r="33" spans="1:7" x14ac:dyDescent="0.45">
      <c r="A33" s="1"/>
      <c r="B33" s="49" t="s">
        <v>16</v>
      </c>
      <c r="C33" s="49" t="s">
        <v>11</v>
      </c>
      <c r="D33" s="50"/>
      <c r="E33" s="49" t="s">
        <v>34</v>
      </c>
      <c r="F33" s="46"/>
      <c r="G33" s="1"/>
    </row>
    <row r="34" spans="1:7" x14ac:dyDescent="0.45">
      <c r="A34" s="1"/>
      <c r="B34" s="25" t="s">
        <v>242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43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45">
      <c r="A38" s="1"/>
      <c r="B38" s="43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UzaMIzHaTgOLeSoAYCWbBhlxR9h/3wWs5/dMrfpBwsSuTYamSnwryqPNFNkxDU+a7YBGrZJfpYr/DC5OHiePAA==" saltValue="VZ8/XqrfNQvP5ou+m8o+9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213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5" t="s">
        <v>157</v>
      </c>
      <c r="C9" s="86" t="s">
        <v>11</v>
      </c>
      <c r="D9" s="88"/>
      <c r="E9" s="86" t="s">
        <v>34</v>
      </c>
      <c r="F9" s="88"/>
      <c r="G9" s="1"/>
    </row>
    <row r="10" spans="1:7" x14ac:dyDescent="0.4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212</v>
      </c>
      <c r="C3" s="91"/>
      <c r="D3" s="91"/>
      <c r="E3" s="91"/>
      <c r="F3" s="91"/>
      <c r="G3" s="1"/>
    </row>
    <row r="4" spans="1:7" ht="25.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111</v>
      </c>
      <c r="C8" s="96"/>
      <c r="D8" s="96"/>
      <c r="E8" s="96"/>
      <c r="F8" s="97"/>
      <c r="G8" s="1"/>
    </row>
    <row r="9" spans="1:7" ht="15" customHeight="1" x14ac:dyDescent="0.45">
      <c r="A9" s="1"/>
      <c r="B9" s="45" t="s">
        <v>17</v>
      </c>
      <c r="C9" s="45" t="s">
        <v>11</v>
      </c>
      <c r="D9" s="46"/>
      <c r="E9" s="45" t="s">
        <v>34</v>
      </c>
      <c r="F9" s="46"/>
      <c r="G9" s="1"/>
    </row>
    <row r="10" spans="1:7" x14ac:dyDescent="0.45">
      <c r="A10" s="1"/>
      <c r="B10" s="25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3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3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110</v>
      </c>
      <c r="C15" s="96"/>
      <c r="D15" s="96"/>
      <c r="E15" s="96"/>
      <c r="F15" s="97"/>
      <c r="G15" s="1"/>
    </row>
    <row r="16" spans="1:7" x14ac:dyDescent="0.45">
      <c r="A16" s="1"/>
      <c r="B16" s="45" t="s">
        <v>17</v>
      </c>
      <c r="C16" s="45" t="s">
        <v>11</v>
      </c>
      <c r="D16" s="46"/>
      <c r="E16" s="45" t="s">
        <v>34</v>
      </c>
      <c r="F16" s="46"/>
      <c r="G16" s="1"/>
    </row>
    <row r="17" spans="1:7" x14ac:dyDescent="0.45">
      <c r="A17" s="1"/>
      <c r="B17" s="25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3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3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112</v>
      </c>
      <c r="C22" s="96"/>
      <c r="D22" s="96"/>
      <c r="E22" s="96"/>
      <c r="F22" s="97"/>
      <c r="G22" s="1"/>
    </row>
    <row r="23" spans="1:7" x14ac:dyDescent="0.45">
      <c r="A23" s="1"/>
      <c r="B23" s="45" t="s">
        <v>17</v>
      </c>
      <c r="C23" s="45" t="s">
        <v>11</v>
      </c>
      <c r="D23" s="46"/>
      <c r="E23" s="45" t="s">
        <v>34</v>
      </c>
      <c r="F23" s="46"/>
      <c r="G23" s="1"/>
    </row>
    <row r="24" spans="1:7" x14ac:dyDescent="0.45">
      <c r="A24" s="1"/>
      <c r="B24" s="25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3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3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182</v>
      </c>
      <c r="C29" s="96"/>
      <c r="D29" s="96"/>
      <c r="E29" s="96"/>
      <c r="F29" s="97"/>
      <c r="G29" s="1"/>
    </row>
    <row r="30" spans="1:7" x14ac:dyDescent="0.45">
      <c r="A30" s="1"/>
      <c r="B30" s="45" t="s">
        <v>17</v>
      </c>
      <c r="C30" s="45" t="s">
        <v>11</v>
      </c>
      <c r="D30" s="46"/>
      <c r="E30" s="45" t="s">
        <v>34</v>
      </c>
      <c r="F30" s="46"/>
      <c r="G30" s="1"/>
    </row>
    <row r="31" spans="1:7" x14ac:dyDescent="0.45">
      <c r="A31" s="1"/>
      <c r="B31" s="25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3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3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1" t="s">
        <v>211</v>
      </c>
      <c r="C3" s="91"/>
      <c r="D3" s="1"/>
    </row>
    <row r="4" spans="1:4" ht="25.5" customHeight="1" x14ac:dyDescent="0.45">
      <c r="A4" s="1"/>
      <c r="B4" s="91"/>
      <c r="C4" s="9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20"/>
      <c r="D8" s="1"/>
    </row>
    <row r="9" spans="1:4" x14ac:dyDescent="0.45">
      <c r="A9" s="1"/>
      <c r="B9" s="51" t="s">
        <v>141</v>
      </c>
      <c r="C9" s="26">
        <v>1.2699999999999999E-2</v>
      </c>
      <c r="D9" s="1"/>
    </row>
    <row r="10" spans="1:4" x14ac:dyDescent="0.45">
      <c r="A10" s="1"/>
      <c r="B10" s="51" t="s">
        <v>22</v>
      </c>
      <c r="C10" s="26">
        <v>1.7500000000000002E-2</v>
      </c>
      <c r="D10" s="1"/>
    </row>
    <row r="11" spans="1:4" x14ac:dyDescent="0.45">
      <c r="A11" s="1"/>
      <c r="B11" s="51" t="s">
        <v>142</v>
      </c>
      <c r="C11" s="26">
        <v>1.6899999999999998E-2</v>
      </c>
      <c r="D11" s="1"/>
    </row>
    <row r="12" spans="1:4" x14ac:dyDescent="0.45">
      <c r="A12" s="1"/>
      <c r="B12" s="34" t="s">
        <v>47</v>
      </c>
      <c r="C12" s="35">
        <v>1.9699999999999999E-2</v>
      </c>
      <c r="D12" s="1"/>
    </row>
    <row r="13" spans="1:4" x14ac:dyDescent="0.45">
      <c r="A13" s="1"/>
      <c r="B13" s="34" t="s">
        <v>178</v>
      </c>
      <c r="C13" s="35">
        <v>1.2200000000000001E-2</v>
      </c>
      <c r="D13" s="1"/>
    </row>
    <row r="14" spans="1:4" x14ac:dyDescent="0.45">
      <c r="A14" s="1"/>
      <c r="B14" s="95"/>
      <c r="C14" s="9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126</v>
      </c>
      <c r="C17" s="20"/>
      <c r="D17" s="1"/>
    </row>
    <row r="18" spans="1:4" x14ac:dyDescent="0.45">
      <c r="A18" s="1"/>
      <c r="B18" s="51" t="s">
        <v>143</v>
      </c>
      <c r="C18" s="23">
        <v>9.1000000000000004E-3</v>
      </c>
      <c r="D18" s="1"/>
    </row>
    <row r="19" spans="1:4" x14ac:dyDescent="0.45">
      <c r="A19" s="1"/>
      <c r="B19" s="51" t="s">
        <v>144</v>
      </c>
      <c r="C19" s="23">
        <v>1.77E-2</v>
      </c>
      <c r="D19" s="1"/>
    </row>
    <row r="20" spans="1:4" x14ac:dyDescent="0.45">
      <c r="A20" s="1"/>
      <c r="B20" s="51" t="s">
        <v>145</v>
      </c>
      <c r="C20" s="23">
        <v>8.6999999999999994E-3</v>
      </c>
      <c r="D20" s="1"/>
    </row>
    <row r="21" spans="1:4" x14ac:dyDescent="0.45">
      <c r="A21" s="1"/>
      <c r="B21" s="51" t="s">
        <v>146</v>
      </c>
      <c r="C21" s="36">
        <v>2.8400000000000002E-2</v>
      </c>
      <c r="D21" s="1"/>
    </row>
    <row r="22" spans="1:4" x14ac:dyDescent="0.45">
      <c r="A22" s="1"/>
      <c r="B22" s="51" t="s">
        <v>186</v>
      </c>
      <c r="C22" s="36">
        <v>2.75E-2</v>
      </c>
      <c r="D22" s="1"/>
    </row>
    <row r="23" spans="1:4" x14ac:dyDescent="0.45">
      <c r="A23" s="1"/>
      <c r="B23" s="43"/>
      <c r="C23" s="20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3" t="s">
        <v>127</v>
      </c>
      <c r="C26" s="20"/>
      <c r="D26" s="1"/>
    </row>
    <row r="27" spans="1:4" x14ac:dyDescent="0.45">
      <c r="A27" s="1"/>
      <c r="B27" s="51" t="s">
        <v>147</v>
      </c>
      <c r="C27" s="26">
        <v>0.02</v>
      </c>
      <c r="D27" s="1"/>
    </row>
    <row r="28" spans="1:4" x14ac:dyDescent="0.45">
      <c r="A28" s="1"/>
      <c r="B28" s="43"/>
      <c r="C28" s="20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161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3" t="s">
        <v>13</v>
      </c>
      <c r="C8" s="44"/>
      <c r="D8" s="20"/>
      <c r="E8" s="1"/>
    </row>
    <row r="9" spans="1:5" x14ac:dyDescent="0.45">
      <c r="A9" s="1"/>
      <c r="B9" s="47" t="s">
        <v>25</v>
      </c>
      <c r="C9" s="7">
        <f>'Fane 3. Omkostninger i ØR2020'!E20</f>
        <v>26546865.783628929</v>
      </c>
      <c r="D9" s="8" t="s">
        <v>3</v>
      </c>
      <c r="E9" s="1"/>
    </row>
    <row r="10" spans="1:5" ht="17.100000000000001" customHeight="1" x14ac:dyDescent="0.45">
      <c r="A10" s="1"/>
      <c r="B10" s="31" t="s">
        <v>45</v>
      </c>
      <c r="C10" s="7">
        <f>'Fane 9.1. Varige tillæg'!C13</f>
        <v>76465.636799999993</v>
      </c>
      <c r="D10" s="8" t="s">
        <v>3</v>
      </c>
      <c r="E10" s="1"/>
    </row>
    <row r="11" spans="1:5" ht="17.100000000000001" customHeight="1" x14ac:dyDescent="0.45">
      <c r="A11" s="1"/>
      <c r="B11" s="31" t="s">
        <v>46</v>
      </c>
      <c r="C11" s="9">
        <f>'Fane 9.1. Varige tillæg'!E13</f>
        <v>288935.39352943999</v>
      </c>
      <c r="D11" s="8" t="s">
        <v>3</v>
      </c>
      <c r="E11" s="1"/>
    </row>
    <row r="12" spans="1:5" ht="17.100000000000001" customHeight="1" x14ac:dyDescent="0.4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1" t="s">
        <v>18</v>
      </c>
      <c r="C16" s="9">
        <f>SUM(C9:C15)*'Fane 12. Nøgletal'!C13</f>
        <v>328329.65513029211</v>
      </c>
      <c r="D16" s="8" t="s">
        <v>3</v>
      </c>
      <c r="E16" s="1"/>
    </row>
    <row r="17" spans="1:5" ht="17.100000000000001" customHeight="1" x14ac:dyDescent="0.45">
      <c r="A17" s="1"/>
      <c r="B17" s="31" t="s">
        <v>9</v>
      </c>
      <c r="C17" s="9">
        <f>-SUM(C9:C16)*'Fane 5. Individuelt eff. krav'!G10</f>
        <v>-472054.45667193126</v>
      </c>
      <c r="D17" s="8" t="s">
        <v>3</v>
      </c>
      <c r="E17" s="1"/>
    </row>
    <row r="18" spans="1:5" ht="17.100000000000001" customHeight="1" x14ac:dyDescent="0.45">
      <c r="A18" s="1"/>
      <c r="B18" s="31" t="s">
        <v>27</v>
      </c>
      <c r="C18" s="9">
        <f>-'Fane 4.1. Gen. krav - drift'!G31</f>
        <v>-353010.96127010213</v>
      </c>
      <c r="D18" s="8" t="s">
        <v>3</v>
      </c>
      <c r="E18" s="1"/>
    </row>
    <row r="19" spans="1:5" ht="17.100000000000001" customHeight="1" x14ac:dyDescent="0.45">
      <c r="A19" s="1"/>
      <c r="B19" s="31" t="s">
        <v>28</v>
      </c>
      <c r="C19" s="9">
        <f>-'Fane 4.2. Gen. krav - anlæg'!G31</f>
        <v>-315599.34239085572</v>
      </c>
      <c r="D19" s="8" t="s">
        <v>3</v>
      </c>
      <c r="E19" s="1"/>
    </row>
    <row r="20" spans="1:5" ht="17.100000000000001" customHeight="1" x14ac:dyDescent="0.45">
      <c r="A20" s="1"/>
      <c r="B20" s="52" t="s">
        <v>20</v>
      </c>
      <c r="C20" s="10">
        <f>SUM(C9:C19)</f>
        <v>26099931.708755776</v>
      </c>
      <c r="D20" s="11" t="s">
        <v>3</v>
      </c>
      <c r="E20" s="1"/>
    </row>
    <row r="21" spans="1:5" ht="15" customHeight="1" x14ac:dyDescent="0.45">
      <c r="A21" s="1"/>
      <c r="B21" s="43" t="s">
        <v>12</v>
      </c>
      <c r="C21" s="44"/>
      <c r="D21" s="20"/>
      <c r="E21" s="1"/>
    </row>
    <row r="22" spans="1:5" ht="15" customHeight="1" x14ac:dyDescent="0.45">
      <c r="A22" s="1"/>
      <c r="B22" s="45" t="s">
        <v>12</v>
      </c>
      <c r="C22" s="10">
        <f>'Fane 6. Ikke-påvirkelige omk.'!C16</f>
        <v>30953334.52660932</v>
      </c>
      <c r="D22" s="11" t="s">
        <v>3</v>
      </c>
      <c r="E22" s="1"/>
    </row>
    <row r="23" spans="1:5" ht="15" customHeight="1" x14ac:dyDescent="0.45">
      <c r="A23" s="1"/>
      <c r="B23" s="43" t="s">
        <v>99</v>
      </c>
      <c r="C23" s="44"/>
      <c r="D23" s="20"/>
      <c r="E23" s="1"/>
    </row>
    <row r="24" spans="1:5" ht="15" customHeight="1" x14ac:dyDescent="0.4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2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38" t="s">
        <v>204</v>
      </c>
      <c r="C27" s="44"/>
      <c r="D27" s="20"/>
      <c r="E27" s="1"/>
    </row>
    <row r="28" spans="1:5" x14ac:dyDescent="0.45">
      <c r="A28" s="1"/>
      <c r="B28" s="53" t="s">
        <v>205</v>
      </c>
      <c r="C28" s="10">
        <f>'Fane 7. Kontrol af ØR2019'!E39</f>
        <v>-489671.06768376008</v>
      </c>
      <c r="D28" s="11" t="s">
        <v>3</v>
      </c>
      <c r="E28" s="1"/>
    </row>
    <row r="29" spans="1:5" x14ac:dyDescent="0.45">
      <c r="A29" s="1"/>
      <c r="B29" s="43" t="s">
        <v>31</v>
      </c>
      <c r="C29" s="32">
        <f>SUM(C20,C22,C26,C28)</f>
        <v>56563595.167681336</v>
      </c>
      <c r="D29" s="20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162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/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3" t="s">
        <v>13</v>
      </c>
      <c r="C8" s="44"/>
      <c r="D8" s="20"/>
      <c r="E8" s="1"/>
    </row>
    <row r="9" spans="1:5" ht="15" customHeight="1" x14ac:dyDescent="0.45">
      <c r="A9" s="1"/>
      <c r="B9" s="47" t="s">
        <v>26</v>
      </c>
      <c r="C9" s="7">
        <f>'Fane 2.1. Økonomisk ramme 2021'!C20</f>
        <v>26099931.708755776</v>
      </c>
      <c r="D9" s="8" t="s">
        <v>3</v>
      </c>
      <c r="E9" s="1"/>
    </row>
    <row r="10" spans="1:5" ht="15" customHeight="1" x14ac:dyDescent="0.4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2" t="s">
        <v>18</v>
      </c>
      <c r="C12" s="9">
        <f>SUM(C9:C11)*'Fane 12. Nøgletal'!C13</f>
        <v>318419.1668468205</v>
      </c>
      <c r="D12" s="8" t="s">
        <v>3</v>
      </c>
      <c r="E12" s="1"/>
    </row>
    <row r="13" spans="1:5" ht="15" customHeight="1" x14ac:dyDescent="0.45">
      <c r="A13" s="1"/>
      <c r="B13" s="42" t="s">
        <v>9</v>
      </c>
      <c r="C13" s="9">
        <f>-SUM(C9:C12)*'Fane 5. Individuelt eff. krav'!G10</f>
        <v>-457805.69756989018</v>
      </c>
      <c r="D13" s="8" t="s">
        <v>3</v>
      </c>
      <c r="E13" s="1"/>
    </row>
    <row r="14" spans="1:5" ht="15" customHeight="1" x14ac:dyDescent="0.45">
      <c r="A14" s="1"/>
      <c r="B14" s="42" t="s">
        <v>27</v>
      </c>
      <c r="C14" s="9">
        <f>-'Fane 4.1. Gen. krav - drift'!G37</f>
        <v>-350171.3410976454</v>
      </c>
      <c r="D14" s="8" t="s">
        <v>3</v>
      </c>
      <c r="E14" s="1"/>
    </row>
    <row r="15" spans="1:5" ht="15" customHeight="1" x14ac:dyDescent="0.45">
      <c r="A15" s="1"/>
      <c r="B15" s="42" t="s">
        <v>28</v>
      </c>
      <c r="C15" s="9">
        <f>-'Fane 4.2. Gen. krav - anlæg'!G37</f>
        <v>-310664.78887290345</v>
      </c>
      <c r="D15" s="8" t="s">
        <v>3</v>
      </c>
      <c r="E15" s="1"/>
    </row>
    <row r="16" spans="1:5" ht="15" customHeight="1" x14ac:dyDescent="0.45">
      <c r="A16" s="1"/>
      <c r="B16" s="48" t="s">
        <v>20</v>
      </c>
      <c r="C16" s="10">
        <f>SUM(C9:C15)</f>
        <v>25299709.048062153</v>
      </c>
      <c r="D16" s="11" t="s">
        <v>3</v>
      </c>
      <c r="E16" s="1"/>
    </row>
    <row r="17" spans="1:5" x14ac:dyDescent="0.45">
      <c r="A17" s="1"/>
      <c r="B17" s="43" t="s">
        <v>12</v>
      </c>
      <c r="C17" s="44"/>
      <c r="D17" s="20"/>
      <c r="E17" s="1"/>
    </row>
    <row r="18" spans="1:5" ht="15" customHeight="1" x14ac:dyDescent="0.45">
      <c r="A18" s="1"/>
      <c r="B18" s="45" t="s">
        <v>12</v>
      </c>
      <c r="C18" s="10">
        <f>'Fane 6. Ikke-påvirkelige omk.'!C16*(1+'Fane 12. Nøgletal'!C13)</f>
        <v>31330965.207833953</v>
      </c>
      <c r="D18" s="11" t="s">
        <v>3</v>
      </c>
      <c r="E18" s="1"/>
    </row>
    <row r="19" spans="1:5" ht="15" customHeight="1" x14ac:dyDescent="0.45">
      <c r="A19" s="1"/>
      <c r="B19" s="43" t="s">
        <v>99</v>
      </c>
      <c r="C19" s="44"/>
      <c r="D19" s="20"/>
      <c r="E19" s="1"/>
    </row>
    <row r="20" spans="1:5" ht="15" customHeight="1" x14ac:dyDescent="0.4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2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8" t="s">
        <v>204</v>
      </c>
      <c r="C23" s="44"/>
      <c r="D23" s="20"/>
      <c r="E23" s="1"/>
    </row>
    <row r="24" spans="1:5" ht="15" customHeight="1" x14ac:dyDescent="0.45">
      <c r="A24" s="1"/>
      <c r="B24" s="53" t="s">
        <v>205</v>
      </c>
      <c r="C24" s="10">
        <f>'Fane 7. Kontrol af ØR2019'!E39</f>
        <v>-489671.06768376008</v>
      </c>
      <c r="D24" s="11" t="s">
        <v>3</v>
      </c>
      <c r="E24" s="1"/>
    </row>
    <row r="25" spans="1:5" x14ac:dyDescent="0.45">
      <c r="A25" s="1"/>
      <c r="B25" s="43" t="s">
        <v>32</v>
      </c>
      <c r="C25" s="12">
        <f>SUM(C16,C18,C22,C24)</f>
        <v>56141003.18821235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3" t="s">
        <v>13</v>
      </c>
      <c r="C7" s="44"/>
      <c r="D7" s="20"/>
      <c r="E7" s="1"/>
    </row>
    <row r="8" spans="1:5" ht="15" customHeight="1" x14ac:dyDescent="0.45">
      <c r="A8" s="1"/>
      <c r="B8" s="47" t="s">
        <v>165</v>
      </c>
      <c r="C8" s="7">
        <f>'Fane 2.2. Økonomisk ramme 2022'!C16</f>
        <v>25299709.048062153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2" t="s">
        <v>18</v>
      </c>
      <c r="C11" s="9">
        <f>SUM(C8:C10)*'Fane 12. Nøgletal'!C13</f>
        <v>308656.45038635831</v>
      </c>
      <c r="D11" s="8" t="s">
        <v>3</v>
      </c>
      <c r="E11" s="1"/>
    </row>
    <row r="12" spans="1:5" ht="15" customHeight="1" x14ac:dyDescent="0.45">
      <c r="A12" s="1"/>
      <c r="B12" s="42" t="s">
        <v>9</v>
      </c>
      <c r="C12" s="9">
        <f>-SUM(C8:C11)*'Fane 5. Individuelt eff. krav'!G10</f>
        <v>-443769.3967290271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drift'!G43</f>
        <v>-347354.56282985589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anlæg'!G43</f>
        <v>-305807.38956648117</v>
      </c>
      <c r="D14" s="8" t="s">
        <v>3</v>
      </c>
      <c r="E14" s="1"/>
    </row>
    <row r="15" spans="1:5" x14ac:dyDescent="0.45">
      <c r="A15" s="1"/>
      <c r="B15" s="48" t="s">
        <v>20</v>
      </c>
      <c r="C15" s="10">
        <f>SUM(C8:C14)</f>
        <v>24511434.149323147</v>
      </c>
      <c r="D15" s="11" t="s">
        <v>3</v>
      </c>
      <c r="E15" s="1"/>
    </row>
    <row r="16" spans="1:5" x14ac:dyDescent="0.45">
      <c r="A16" s="1"/>
      <c r="B16" s="43" t="s">
        <v>12</v>
      </c>
      <c r="C16" s="44"/>
      <c r="D16" s="20"/>
      <c r="E16" s="1"/>
    </row>
    <row r="17" spans="1:5" ht="15" customHeight="1" x14ac:dyDescent="0.45">
      <c r="A17" s="1"/>
      <c r="B17" s="45" t="s">
        <v>12</v>
      </c>
      <c r="C17" s="10">
        <f>'Fane 6. Ikke-påvirkelige omk.'!C16*(1+'Fane 12. Nøgletal'!C13)^2</f>
        <v>31713202.983369529</v>
      </c>
      <c r="D17" s="11" t="s">
        <v>3</v>
      </c>
      <c r="E17" s="1"/>
    </row>
    <row r="18" spans="1:5" ht="15" customHeight="1" x14ac:dyDescent="0.45">
      <c r="A18" s="1"/>
      <c r="B18" s="43" t="s">
        <v>99</v>
      </c>
      <c r="C18" s="44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3" t="s">
        <v>109</v>
      </c>
      <c r="C22" s="12">
        <f>SUM(C15,C17,C21)</f>
        <v>56224637.13269268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164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21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3" t="s">
        <v>13</v>
      </c>
      <c r="C7" s="44"/>
      <c r="D7" s="20"/>
      <c r="E7" s="1"/>
    </row>
    <row r="8" spans="1:5" ht="15" customHeight="1" x14ac:dyDescent="0.45">
      <c r="A8" s="1"/>
      <c r="B8" s="47" t="s">
        <v>166</v>
      </c>
      <c r="C8" s="7">
        <f>'Fane 2.3. Økonomisk ramme 2023'!C15</f>
        <v>24511434.149323147</v>
      </c>
      <c r="D8" s="8" t="s">
        <v>3</v>
      </c>
      <c r="E8" s="1"/>
    </row>
    <row r="9" spans="1:5" ht="15" customHeight="1" x14ac:dyDescent="0.45">
      <c r="A9" s="1"/>
      <c r="B9" s="47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47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2" t="s">
        <v>18</v>
      </c>
      <c r="C11" s="9">
        <f>SUM(C8:C10)*'Fane 12. Nøgletal'!C13</f>
        <v>299039.49662174244</v>
      </c>
      <c r="D11" s="8" t="s">
        <v>3</v>
      </c>
      <c r="E11" s="1"/>
    </row>
    <row r="12" spans="1:5" ht="15" customHeight="1" x14ac:dyDescent="0.45">
      <c r="A12" s="1"/>
      <c r="B12" s="42" t="s">
        <v>9</v>
      </c>
      <c r="C12" s="9">
        <f>-SUM(C8:C11)*'Fane 5. Individuelt eff. krav'!G10</f>
        <v>-429942.66553597269</v>
      </c>
      <c r="D12" s="8" t="s">
        <v>3</v>
      </c>
      <c r="E12" s="1"/>
    </row>
    <row r="13" spans="1:5" ht="15" customHeight="1" x14ac:dyDescent="0.45">
      <c r="A13" s="1"/>
      <c r="B13" s="42" t="s">
        <v>27</v>
      </c>
      <c r="C13" s="9">
        <f>-'Fane 4.1. Gen. krav - drift'!G49</f>
        <v>-344560.4427264526</v>
      </c>
      <c r="D13" s="8" t="s">
        <v>3</v>
      </c>
      <c r="E13" s="1"/>
    </row>
    <row r="14" spans="1:5" ht="15" customHeight="1" x14ac:dyDescent="0.45">
      <c r="A14" s="1"/>
      <c r="B14" s="42" t="s">
        <v>28</v>
      </c>
      <c r="C14" s="9">
        <f>-'Fane 4.2. Gen. krav - anlæg'!G49</f>
        <v>-301025.93812691444</v>
      </c>
      <c r="D14" s="8" t="s">
        <v>3</v>
      </c>
      <c r="E14" s="1"/>
    </row>
    <row r="15" spans="1:5" x14ac:dyDescent="0.45">
      <c r="A15" s="1"/>
      <c r="B15" s="48" t="s">
        <v>20</v>
      </c>
      <c r="C15" s="10">
        <f>SUM(C8:C14)</f>
        <v>23734944.599555552</v>
      </c>
      <c r="D15" s="11" t="s">
        <v>3</v>
      </c>
      <c r="E15" s="1"/>
    </row>
    <row r="16" spans="1:5" x14ac:dyDescent="0.45">
      <c r="A16" s="1"/>
      <c r="B16" s="43" t="s">
        <v>12</v>
      </c>
      <c r="C16" s="44"/>
      <c r="D16" s="20"/>
      <c r="E16" s="1"/>
    </row>
    <row r="17" spans="1:5" ht="15" customHeight="1" x14ac:dyDescent="0.45">
      <c r="A17" s="1"/>
      <c r="B17" s="45" t="s">
        <v>12</v>
      </c>
      <c r="C17" s="10">
        <f>'Fane 6. Ikke-påvirkelige omk.'!C16*(1+'Fane 12. Nøgletal'!C13)^3</f>
        <v>32100104.059766639</v>
      </c>
      <c r="D17" s="11" t="s">
        <v>3</v>
      </c>
      <c r="E17" s="1"/>
    </row>
    <row r="18" spans="1:5" ht="15" customHeight="1" x14ac:dyDescent="0.45">
      <c r="A18" s="1"/>
      <c r="B18" s="43" t="s">
        <v>99</v>
      </c>
      <c r="C18" s="44"/>
      <c r="D18" s="20"/>
      <c r="E18" s="1"/>
    </row>
    <row r="19" spans="1:5" ht="15" customHeight="1" x14ac:dyDescent="0.4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2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3" t="s">
        <v>243</v>
      </c>
      <c r="C22" s="12">
        <f>SUM(C15,C17,C21)</f>
        <v>55835048.659322187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1" t="s">
        <v>180</v>
      </c>
      <c r="C3" s="91"/>
      <c r="D3" s="91"/>
      <c r="E3" s="91"/>
      <c r="F3" s="91"/>
      <c r="G3" s="1"/>
    </row>
    <row r="4" spans="1:7" ht="29.25" customHeight="1" x14ac:dyDescent="0.45">
      <c r="A4" s="1"/>
      <c r="B4" s="91"/>
      <c r="C4" s="91"/>
      <c r="D4" s="91"/>
      <c r="E4" s="91"/>
      <c r="F4" s="9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167</v>
      </c>
      <c r="C8" s="44"/>
      <c r="D8" s="44"/>
      <c r="E8" s="44"/>
      <c r="F8" s="20"/>
      <c r="G8" s="1"/>
    </row>
    <row r="9" spans="1:7" x14ac:dyDescent="0.45">
      <c r="A9" s="1"/>
      <c r="B9" s="92" t="s">
        <v>23</v>
      </c>
      <c r="C9" s="93"/>
      <c r="D9" s="94"/>
      <c r="E9" s="7">
        <v>27010141.256791476</v>
      </c>
      <c r="F9" s="8" t="s">
        <v>3</v>
      </c>
      <c r="G9" s="1"/>
    </row>
    <row r="10" spans="1:7" ht="15" customHeight="1" x14ac:dyDescent="0.45">
      <c r="A10" s="1"/>
      <c r="B10" s="77" t="s">
        <v>45</v>
      </c>
      <c r="C10" s="78"/>
      <c r="D10" s="79"/>
      <c r="E10" s="7">
        <v>72226.370699999999</v>
      </c>
      <c r="F10" s="8" t="s">
        <v>3</v>
      </c>
      <c r="G10" s="1"/>
    </row>
    <row r="11" spans="1:7" ht="15" customHeight="1" x14ac:dyDescent="0.45">
      <c r="A11" s="1"/>
      <c r="B11" s="77" t="s">
        <v>46</v>
      </c>
      <c r="C11" s="78"/>
      <c r="D11" s="79"/>
      <c r="E11" s="9">
        <v>8878.9663710000004</v>
      </c>
      <c r="F11" s="8" t="s">
        <v>3</v>
      </c>
      <c r="G11" s="1"/>
    </row>
    <row r="12" spans="1:7" x14ac:dyDescent="0.45">
      <c r="A12" s="1"/>
      <c r="B12" s="77" t="s">
        <v>30</v>
      </c>
      <c r="C12" s="78"/>
      <c r="D12" s="79"/>
      <c r="E12" s="9">
        <v>0</v>
      </c>
      <c r="F12" s="8" t="s">
        <v>3</v>
      </c>
      <c r="G12" s="1"/>
    </row>
    <row r="13" spans="1:7" x14ac:dyDescent="0.45">
      <c r="A13" s="1"/>
      <c r="B13" s="77" t="s">
        <v>29</v>
      </c>
      <c r="C13" s="78"/>
      <c r="D13" s="79"/>
      <c r="E13" s="9">
        <v>0</v>
      </c>
      <c r="F13" s="8" t="s">
        <v>3</v>
      </c>
      <c r="G13" s="1"/>
    </row>
    <row r="14" spans="1:7" x14ac:dyDescent="0.45">
      <c r="A14" s="1"/>
      <c r="B14" s="77" t="s">
        <v>159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160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18</v>
      </c>
      <c r="C16" s="78"/>
      <c r="D16" s="79"/>
      <c r="E16" s="9">
        <f>E9*'Fane 12. Nøgletal'!C11+SUM(E10:E15)*'Fane 12. Nøgletal'!C12</f>
        <v>458069.16238007462</v>
      </c>
      <c r="F16" s="8" t="s">
        <v>3</v>
      </c>
      <c r="G16" s="1"/>
    </row>
    <row r="17" spans="1:7" x14ac:dyDescent="0.45">
      <c r="A17" s="1"/>
      <c r="B17" s="77" t="s">
        <v>9</v>
      </c>
      <c r="C17" s="78"/>
      <c r="D17" s="79"/>
      <c r="E17" s="9">
        <f>-SUM(E9:E16)*'Fane 5. Individuelt eff. krav'!G9</f>
        <v>-550986.31512485107</v>
      </c>
      <c r="F17" s="8" t="s">
        <v>3</v>
      </c>
      <c r="G17" s="1"/>
    </row>
    <row r="18" spans="1:7" x14ac:dyDescent="0.45">
      <c r="A18" s="1"/>
      <c r="B18" s="77" t="s">
        <v>27</v>
      </c>
      <c r="C18" s="78"/>
      <c r="D18" s="79"/>
      <c r="E18" s="9">
        <f>-'Fane 4.1. Gen. krav - drift'!G25</f>
        <v>-354313.08537749952</v>
      </c>
      <c r="F18" s="8" t="s">
        <v>3</v>
      </c>
      <c r="G18" s="1"/>
    </row>
    <row r="19" spans="1:7" x14ac:dyDescent="0.45">
      <c r="A19" s="1"/>
      <c r="B19" s="77" t="s">
        <v>28</v>
      </c>
      <c r="C19" s="78"/>
      <c r="D19" s="79"/>
      <c r="E19" s="9">
        <f>-'Fane 4.2. Gen. krav - anlæg'!G25</f>
        <v>-97150.572111272064</v>
      </c>
      <c r="F19" s="8" t="s">
        <v>3</v>
      </c>
      <c r="G19" s="1"/>
    </row>
    <row r="20" spans="1:7" x14ac:dyDescent="0.45">
      <c r="A20" s="1"/>
      <c r="B20" s="80" t="s">
        <v>20</v>
      </c>
      <c r="C20" s="81"/>
      <c r="D20" s="82"/>
      <c r="E20" s="10">
        <f>SUM(E9:E19)</f>
        <v>26546865.783628929</v>
      </c>
      <c r="F20" s="11" t="s">
        <v>3</v>
      </c>
      <c r="G20" s="1"/>
    </row>
    <row r="21" spans="1:7" x14ac:dyDescent="0.45">
      <c r="A21" s="1"/>
      <c r="B21" s="89" t="s">
        <v>12</v>
      </c>
      <c r="C21" s="90"/>
      <c r="D21" s="90"/>
      <c r="E21" s="44"/>
      <c r="F21" s="20"/>
      <c r="G21" s="1"/>
    </row>
    <row r="22" spans="1:7" x14ac:dyDescent="0.45">
      <c r="A22" s="1"/>
      <c r="B22" s="83" t="s">
        <v>12</v>
      </c>
      <c r="C22" s="84"/>
      <c r="D22" s="85"/>
      <c r="E22" s="10">
        <v>30102654.404660311</v>
      </c>
      <c r="F22" s="11" t="s">
        <v>3</v>
      </c>
      <c r="G22" s="1"/>
    </row>
    <row r="23" spans="1:7" ht="15" customHeight="1" x14ac:dyDescent="0.45">
      <c r="A23" s="1"/>
      <c r="B23" s="89" t="s">
        <v>99</v>
      </c>
      <c r="C23" s="90"/>
      <c r="D23" s="90"/>
      <c r="E23" s="44"/>
      <c r="F23" s="44"/>
      <c r="G23" s="1"/>
    </row>
    <row r="24" spans="1:7" ht="14.25" customHeight="1" x14ac:dyDescent="0.45">
      <c r="A24" s="1"/>
      <c r="B24" s="74" t="s">
        <v>95</v>
      </c>
      <c r="C24" s="75"/>
      <c r="D24" s="76"/>
      <c r="E24" s="9">
        <v>596273</v>
      </c>
      <c r="F24" s="8" t="s">
        <v>3</v>
      </c>
      <c r="G24" s="1"/>
    </row>
    <row r="25" spans="1:7" ht="14.25" customHeight="1" x14ac:dyDescent="0.45">
      <c r="A25" s="1"/>
      <c r="B25" s="74" t="s">
        <v>96</v>
      </c>
      <c r="C25" s="75"/>
      <c r="D25" s="76"/>
      <c r="E25" s="9">
        <v>0</v>
      </c>
      <c r="F25" s="8" t="s">
        <v>3</v>
      </c>
      <c r="G25" s="1"/>
    </row>
    <row r="26" spans="1:7" x14ac:dyDescent="0.45">
      <c r="A26" s="1"/>
      <c r="B26" s="86" t="s">
        <v>100</v>
      </c>
      <c r="C26" s="87"/>
      <c r="D26" s="87"/>
      <c r="E26" s="10">
        <v>596272.71893903997</v>
      </c>
      <c r="F26" s="11" t="s">
        <v>3</v>
      </c>
      <c r="G26" s="1"/>
    </row>
    <row r="27" spans="1:7" ht="14.25" customHeight="1" x14ac:dyDescent="0.45">
      <c r="A27" s="1"/>
      <c r="B27" s="43" t="s">
        <v>228</v>
      </c>
      <c r="C27" s="44"/>
      <c r="D27" s="44"/>
      <c r="E27" s="44"/>
      <c r="F27" s="44"/>
      <c r="G27" s="1"/>
    </row>
    <row r="28" spans="1:7" ht="13.15" customHeight="1" x14ac:dyDescent="0.45">
      <c r="A28" s="1"/>
      <c r="B28" s="86" t="s">
        <v>229</v>
      </c>
      <c r="C28" s="87"/>
      <c r="D28" s="88"/>
      <c r="E28" s="10">
        <v>0</v>
      </c>
      <c r="F28" s="11" t="s">
        <v>3</v>
      </c>
      <c r="G28" s="1"/>
    </row>
    <row r="29" spans="1:7" x14ac:dyDescent="0.45">
      <c r="A29" s="1"/>
      <c r="B29" s="43" t="s">
        <v>230</v>
      </c>
      <c r="C29" s="44"/>
      <c r="D29" s="44"/>
      <c r="E29" s="44"/>
      <c r="F29" s="20"/>
      <c r="G29" s="1"/>
    </row>
    <row r="30" spans="1:7" ht="15" customHeight="1" x14ac:dyDescent="0.45">
      <c r="A30" s="1"/>
      <c r="B30" s="86" t="s">
        <v>231</v>
      </c>
      <c r="C30" s="87"/>
      <c r="D30" s="88"/>
      <c r="E30" s="10">
        <v>337964.43626781169</v>
      </c>
      <c r="F30" s="11" t="s">
        <v>3</v>
      </c>
      <c r="G30" s="1"/>
    </row>
    <row r="31" spans="1:7" x14ac:dyDescent="0.45">
      <c r="A31" s="1"/>
      <c r="B31" s="43" t="s">
        <v>232</v>
      </c>
      <c r="C31" s="44"/>
      <c r="D31" s="44"/>
      <c r="E31" s="44"/>
      <c r="F31" s="20"/>
      <c r="G31" s="1"/>
    </row>
    <row r="32" spans="1:7" x14ac:dyDescent="0.45">
      <c r="A32" s="1"/>
      <c r="B32" s="83" t="s">
        <v>233</v>
      </c>
      <c r="C32" s="84"/>
      <c r="D32" s="85"/>
      <c r="E32" s="10">
        <v>0</v>
      </c>
      <c r="F32" s="11" t="s">
        <v>3</v>
      </c>
      <c r="G32" s="1"/>
    </row>
    <row r="33" spans="1:7" x14ac:dyDescent="0.45">
      <c r="A33" s="1"/>
      <c r="B33" s="43" t="s">
        <v>24</v>
      </c>
      <c r="C33" s="44"/>
      <c r="D33" s="44"/>
      <c r="E33" s="12">
        <f>SUM(E30,E26,E28,E22,E20,E32)</f>
        <v>57583757.343496092</v>
      </c>
      <c r="F33" s="13" t="s">
        <v>3</v>
      </c>
      <c r="G33" s="1"/>
    </row>
    <row r="34" spans="1:7" ht="28.15" customHeight="1" x14ac:dyDescent="0.45">
      <c r="A34" s="1"/>
      <c r="B34" s="74" t="s">
        <v>179</v>
      </c>
      <c r="C34" s="75"/>
      <c r="D34" s="75"/>
      <c r="E34" s="75"/>
      <c r="F34" s="76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9ZeTwAtLPG93n7uDt9i3DLDM5EkVaFnuYg6Pu2xyW7gdH70WZKuv4IZCOu5VczjYMtWij3XraF6mVgaLVZQ/WA==" saltValue="tUamztdo8lrkquIKTsmjd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2" t="s">
        <v>138</v>
      </c>
      <c r="C1" s="72"/>
      <c r="D1" s="72"/>
      <c r="E1" s="72"/>
      <c r="F1" s="72"/>
      <c r="G1" s="72"/>
      <c r="H1" s="72"/>
      <c r="I1" s="1"/>
    </row>
    <row r="2" spans="1:9" ht="15" customHeight="1" x14ac:dyDescent="0.45">
      <c r="A2" s="1"/>
      <c r="B2" s="72"/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x14ac:dyDescent="0.45">
      <c r="A4" s="1"/>
      <c r="B4" s="95" t="s">
        <v>64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53</v>
      </c>
      <c r="C5" s="99"/>
      <c r="D5" s="99"/>
      <c r="E5" s="99"/>
      <c r="F5" s="100"/>
      <c r="G5" s="24">
        <v>17899150.102455098</v>
      </c>
      <c r="H5" s="14" t="s">
        <v>3</v>
      </c>
      <c r="I5" s="1"/>
    </row>
    <row r="6" spans="1:9" x14ac:dyDescent="0.45">
      <c r="A6" s="1"/>
      <c r="B6" s="98" t="s">
        <v>54</v>
      </c>
      <c r="C6" s="99"/>
      <c r="D6" s="99"/>
      <c r="E6" s="99"/>
      <c r="F6" s="100"/>
      <c r="G6" s="24">
        <f>G5*'Fane 12. Nøgletal'!C27</f>
        <v>357983.00204910198</v>
      </c>
      <c r="H6" s="14" t="s">
        <v>3</v>
      </c>
      <c r="I6" s="1"/>
    </row>
    <row r="7" spans="1:9" x14ac:dyDescent="0.45">
      <c r="A7" s="1"/>
      <c r="B7" s="43"/>
      <c r="C7" s="44"/>
      <c r="D7" s="44"/>
      <c r="E7" s="44"/>
      <c r="F7" s="44"/>
      <c r="G7" s="44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65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55</v>
      </c>
      <c r="C10" s="99"/>
      <c r="D10" s="99"/>
      <c r="E10" s="99"/>
      <c r="F10" s="100"/>
      <c r="G10" s="24">
        <f>(G5-G6)*(1+'Fane 12. Nøgletal'!C9)</f>
        <v>17763939.922581151</v>
      </c>
      <c r="H10" s="14" t="s">
        <v>3</v>
      </c>
      <c r="I10" s="1"/>
    </row>
    <row r="11" spans="1:9" x14ac:dyDescent="0.45">
      <c r="A11" s="1"/>
      <c r="B11" s="101" t="s">
        <v>56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57</v>
      </c>
      <c r="C12" s="99"/>
      <c r="D12" s="99"/>
      <c r="E12" s="99"/>
      <c r="F12" s="100"/>
      <c r="G12" s="24">
        <f>(G10+G11)*'Fane 12. Nøgletal'!C27</f>
        <v>355278.79845162301</v>
      </c>
      <c r="H12" s="14" t="s">
        <v>3</v>
      </c>
      <c r="I12" s="1"/>
    </row>
    <row r="13" spans="1:9" x14ac:dyDescent="0.45">
      <c r="A13" s="1"/>
      <c r="B13" s="43"/>
      <c r="C13" s="44"/>
      <c r="D13" s="44"/>
      <c r="E13" s="44"/>
      <c r="F13" s="44"/>
      <c r="G13" s="44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66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58</v>
      </c>
      <c r="C16" s="99"/>
      <c r="D16" s="99"/>
      <c r="E16" s="99"/>
      <c r="F16" s="100"/>
      <c r="G16" s="24">
        <f>(G10-G12)*(1+'Fane 12. Nøgletal'!C11)</f>
        <v>17702867.497127313</v>
      </c>
      <c r="H16" s="14" t="s">
        <v>3</v>
      </c>
      <c r="I16" s="1"/>
    </row>
    <row r="17" spans="1:9" x14ac:dyDescent="0.45">
      <c r="A17" s="1"/>
      <c r="B17" s="98" t="s">
        <v>148</v>
      </c>
      <c r="C17" s="99"/>
      <c r="D17" s="99"/>
      <c r="E17" s="99"/>
      <c r="F17" s="100"/>
      <c r="G17" s="24">
        <v>0</v>
      </c>
      <c r="H17" s="14" t="s">
        <v>3</v>
      </c>
      <c r="I17" s="1"/>
    </row>
    <row r="18" spans="1:9" x14ac:dyDescent="0.45">
      <c r="A18" s="1"/>
      <c r="B18" s="101" t="s">
        <v>59</v>
      </c>
      <c r="C18" s="102"/>
      <c r="D18" s="102"/>
      <c r="E18" s="102"/>
      <c r="F18" s="103"/>
      <c r="G18" s="24">
        <v>0</v>
      </c>
      <c r="H18" s="14" t="s">
        <v>3</v>
      </c>
      <c r="I18" s="1"/>
    </row>
    <row r="19" spans="1:9" x14ac:dyDescent="0.45">
      <c r="A19" s="1"/>
      <c r="B19" s="98" t="s">
        <v>60</v>
      </c>
      <c r="C19" s="99"/>
      <c r="D19" s="99"/>
      <c r="E19" s="99"/>
      <c r="F19" s="100"/>
      <c r="G19" s="24">
        <f>SUM(G16:G18)*'Fane 12. Nøgletal'!C27</f>
        <v>354057.34994254628</v>
      </c>
      <c r="H19" s="14" t="s">
        <v>3</v>
      </c>
      <c r="I19" s="1"/>
    </row>
    <row r="20" spans="1:9" x14ac:dyDescent="0.45">
      <c r="A20" s="1"/>
      <c r="B20" s="43"/>
      <c r="C20" s="44"/>
      <c r="D20" s="44"/>
      <c r="E20" s="44"/>
      <c r="F20" s="44"/>
      <c r="G20" s="44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67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61</v>
      </c>
      <c r="C23" s="99"/>
      <c r="D23" s="99"/>
      <c r="E23" s="99"/>
      <c r="F23" s="100"/>
      <c r="G23" s="24">
        <f>(SUM(G16:G18)-G19)*(1+'Fane 12. Nøgletal'!C11)</f>
        <v>17642005.038672186</v>
      </c>
      <c r="H23" s="14" t="s">
        <v>3</v>
      </c>
      <c r="I23" s="1"/>
    </row>
    <row r="24" spans="1:9" x14ac:dyDescent="0.45">
      <c r="A24" s="1"/>
      <c r="B24" s="101" t="s">
        <v>62</v>
      </c>
      <c r="C24" s="102"/>
      <c r="D24" s="102"/>
      <c r="E24" s="102"/>
      <c r="F24" s="103"/>
      <c r="G24" s="24">
        <v>73649.23020279</v>
      </c>
      <c r="H24" s="14" t="s">
        <v>3</v>
      </c>
      <c r="I24" s="1"/>
    </row>
    <row r="25" spans="1:9" x14ac:dyDescent="0.45">
      <c r="A25" s="1"/>
      <c r="B25" s="98" t="s">
        <v>63</v>
      </c>
      <c r="C25" s="99"/>
      <c r="D25" s="99"/>
      <c r="E25" s="99"/>
      <c r="F25" s="100"/>
      <c r="G25" s="24">
        <f>(G23+G24)*'Fane 12. Nøgletal'!C27</f>
        <v>354313.08537749952</v>
      </c>
      <c r="H25" s="14" t="s">
        <v>3</v>
      </c>
      <c r="I25" s="1"/>
    </row>
    <row r="26" spans="1:9" x14ac:dyDescent="0.45">
      <c r="A26" s="1"/>
      <c r="B26" s="43"/>
      <c r="C26" s="44"/>
      <c r="D26" s="44"/>
      <c r="E26" s="44"/>
      <c r="F26" s="44"/>
      <c r="G26" s="44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222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70</v>
      </c>
      <c r="C29" s="99"/>
      <c r="D29" s="99"/>
      <c r="E29" s="99"/>
      <c r="F29" s="100"/>
      <c r="G29" s="24">
        <f>(G23+G24-G25)*(1+'Fane 12. Nøgletal'!C13)</f>
        <v>17573149.545936145</v>
      </c>
      <c r="H29" s="14" t="s">
        <v>3</v>
      </c>
      <c r="I29" s="1"/>
    </row>
    <row r="30" spans="1:9" x14ac:dyDescent="0.45">
      <c r="A30" s="1"/>
      <c r="B30" s="98" t="s">
        <v>187</v>
      </c>
      <c r="C30" s="99"/>
      <c r="D30" s="99"/>
      <c r="E30" s="99"/>
      <c r="F30" s="100"/>
      <c r="G30" s="24">
        <f>SUM('Fane 2.1. Økonomisk ramme 2021'!C10,'Fane 2.1. Økonomisk ramme 2021'!C12,'Fane 2.1. Økonomisk ramme 2021'!C14)*(1+'Fane 12. Nøgletal'!C13)</f>
        <v>77398.517568959986</v>
      </c>
      <c r="H30" s="14" t="s">
        <v>3</v>
      </c>
      <c r="I30" s="1"/>
    </row>
    <row r="31" spans="1:9" x14ac:dyDescent="0.45">
      <c r="A31" s="1"/>
      <c r="B31" s="98" t="s">
        <v>199</v>
      </c>
      <c r="C31" s="99"/>
      <c r="D31" s="99"/>
      <c r="E31" s="99"/>
      <c r="F31" s="100"/>
      <c r="G31" s="24">
        <f>(G29+G30)*'Fane 12. Nøgletal'!C27</f>
        <v>353010.96127010213</v>
      </c>
      <c r="H31" s="14" t="s">
        <v>3</v>
      </c>
      <c r="I31" s="1"/>
    </row>
    <row r="32" spans="1:9" x14ac:dyDescent="0.45">
      <c r="A32" s="1"/>
      <c r="B32" s="43"/>
      <c r="C32" s="44"/>
      <c r="D32" s="44"/>
      <c r="E32" s="44"/>
      <c r="F32" s="44"/>
      <c r="G32" s="44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223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90</v>
      </c>
      <c r="C35" s="99"/>
      <c r="D35" s="99"/>
      <c r="E35" s="99"/>
      <c r="F35" s="100"/>
      <c r="G35" s="24">
        <f>(G29+G30-G31)*(1+'Fane 12. Nøgletal'!C13)</f>
        <v>17508567.054882269</v>
      </c>
      <c r="H35" s="14" t="s">
        <v>3</v>
      </c>
      <c r="I35" s="1"/>
    </row>
    <row r="36" spans="1:9" x14ac:dyDescent="0.45">
      <c r="A36" s="1"/>
      <c r="B36" s="98" t="s">
        <v>102</v>
      </c>
      <c r="C36" s="99"/>
      <c r="D36" s="99"/>
      <c r="E36" s="99"/>
      <c r="F36" s="100"/>
      <c r="G36" s="24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224</v>
      </c>
      <c r="C37" s="99"/>
      <c r="D37" s="99"/>
      <c r="E37" s="99"/>
      <c r="F37" s="100"/>
      <c r="G37" s="24">
        <f>(G35+G36)*'Fane 12. Nøgletal'!C27</f>
        <v>350171.3410976454</v>
      </c>
      <c r="H37" s="14" t="s">
        <v>3</v>
      </c>
      <c r="I37" s="1"/>
    </row>
    <row r="38" spans="1:9" x14ac:dyDescent="0.45">
      <c r="A38" s="1"/>
      <c r="B38" s="43"/>
      <c r="C38" s="44"/>
      <c r="D38" s="44"/>
      <c r="E38" s="44"/>
      <c r="F38" s="44"/>
      <c r="G38" s="44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91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89</v>
      </c>
      <c r="C41" s="99"/>
      <c r="D41" s="99"/>
      <c r="E41" s="99"/>
      <c r="F41" s="100"/>
      <c r="G41" s="24">
        <f>(G35+G36-G37)*(1+'Fane 12. Nøgletal'!C13)</f>
        <v>17367728.141492795</v>
      </c>
      <c r="H41" s="14" t="s">
        <v>3</v>
      </c>
      <c r="I41" s="1"/>
    </row>
    <row r="42" spans="1:9" x14ac:dyDescent="0.45">
      <c r="A42" s="1"/>
      <c r="B42" s="98" t="s">
        <v>103</v>
      </c>
      <c r="C42" s="99"/>
      <c r="D42" s="99"/>
      <c r="E42" s="99"/>
      <c r="F42" s="100"/>
      <c r="G42" s="24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98" t="s">
        <v>71</v>
      </c>
      <c r="C43" s="99"/>
      <c r="D43" s="99"/>
      <c r="E43" s="99"/>
      <c r="F43" s="100"/>
      <c r="G43" s="24">
        <f>(G41+G42)*'Fane 12. Nøgletal'!C27</f>
        <v>347354.56282985589</v>
      </c>
      <c r="H43" s="14" t="s">
        <v>3</v>
      </c>
      <c r="I43" s="1"/>
    </row>
    <row r="44" spans="1:9" x14ac:dyDescent="0.45">
      <c r="A44" s="1"/>
      <c r="B44" s="43"/>
      <c r="C44" s="44"/>
      <c r="D44" s="44"/>
      <c r="E44" s="44"/>
      <c r="F44" s="44"/>
      <c r="G44" s="44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188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189</v>
      </c>
      <c r="C47" s="99"/>
      <c r="D47" s="99"/>
      <c r="E47" s="99"/>
      <c r="F47" s="100"/>
      <c r="G47" s="24">
        <f>(G41+G42-G43)*(1+'Fane 12. Nøgletal'!C13)</f>
        <v>17228022.136322629</v>
      </c>
      <c r="H47" s="14" t="s">
        <v>3</v>
      </c>
      <c r="I47" s="1"/>
    </row>
    <row r="48" spans="1:9" x14ac:dyDescent="0.45">
      <c r="A48" s="1"/>
      <c r="B48" s="98" t="s">
        <v>190</v>
      </c>
      <c r="C48" s="99"/>
      <c r="D48" s="99"/>
      <c r="E48" s="99"/>
      <c r="F48" s="100"/>
      <c r="G48" s="24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191</v>
      </c>
      <c r="C49" s="99"/>
      <c r="D49" s="99"/>
      <c r="E49" s="99"/>
      <c r="F49" s="100"/>
      <c r="G49" s="24">
        <f>(G47+G48)*'Fane 12. Nøgletal'!C27</f>
        <v>344560.4427264526</v>
      </c>
      <c r="H49" s="14" t="s">
        <v>3</v>
      </c>
      <c r="I49" s="1"/>
    </row>
    <row r="50" spans="1:9" x14ac:dyDescent="0.45">
      <c r="A50" s="1"/>
      <c r="B50" s="43"/>
      <c r="C50" s="44"/>
      <c r="D50" s="44"/>
      <c r="E50" s="44"/>
      <c r="F50" s="44"/>
      <c r="G50" s="44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04" t="s">
        <v>139</v>
      </c>
      <c r="C2" s="104"/>
      <c r="D2" s="104"/>
      <c r="E2" s="104"/>
      <c r="F2" s="104"/>
      <c r="G2" s="104"/>
      <c r="H2" s="104"/>
      <c r="I2" s="1"/>
    </row>
    <row r="3" spans="1:9" ht="15" customHeight="1" x14ac:dyDescent="0.55000000000000004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45">
      <c r="A4" s="1"/>
      <c r="B4" s="95" t="s">
        <v>68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72</v>
      </c>
      <c r="C5" s="99"/>
      <c r="D5" s="99"/>
      <c r="E5" s="99"/>
      <c r="F5" s="100"/>
      <c r="G5" s="24">
        <v>10146511.14422214</v>
      </c>
      <c r="H5" s="14" t="s">
        <v>3</v>
      </c>
      <c r="I5" s="1"/>
    </row>
    <row r="6" spans="1:9" x14ac:dyDescent="0.45">
      <c r="A6" s="1"/>
      <c r="B6" s="98" t="s">
        <v>69</v>
      </c>
      <c r="C6" s="99"/>
      <c r="D6" s="99"/>
      <c r="E6" s="99"/>
      <c r="F6" s="100"/>
      <c r="G6" s="24">
        <f>G5*'Fane 12. Nøgletal'!C18</f>
        <v>92333.251412421479</v>
      </c>
      <c r="H6" s="14" t="s">
        <v>3</v>
      </c>
      <c r="I6" s="1"/>
    </row>
    <row r="7" spans="1:9" x14ac:dyDescent="0.45">
      <c r="A7" s="1"/>
      <c r="B7" s="43"/>
      <c r="C7" s="44"/>
      <c r="D7" s="44"/>
      <c r="E7" s="44"/>
      <c r="F7" s="44"/>
      <c r="G7" s="44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73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74</v>
      </c>
      <c r="C10" s="99"/>
      <c r="D10" s="99"/>
      <c r="E10" s="99"/>
      <c r="F10" s="100"/>
      <c r="G10" s="24">
        <f>(G5-G6)*(1+'Fane 12. Nøgletal'!C9)</f>
        <v>10181865.952048402</v>
      </c>
      <c r="H10" s="14" t="s">
        <v>3</v>
      </c>
      <c r="I10" s="1"/>
    </row>
    <row r="11" spans="1:9" x14ac:dyDescent="0.45">
      <c r="A11" s="1"/>
      <c r="B11" s="101" t="s">
        <v>75</v>
      </c>
      <c r="C11" s="102"/>
      <c r="D11" s="102"/>
      <c r="E11" s="102"/>
      <c r="F11" s="103"/>
      <c r="G11" s="24">
        <v>0</v>
      </c>
      <c r="H11" s="14" t="s">
        <v>3</v>
      </c>
      <c r="I11" s="1"/>
    </row>
    <row r="12" spans="1:9" x14ac:dyDescent="0.45">
      <c r="A12" s="1"/>
      <c r="B12" s="98" t="s">
        <v>76</v>
      </c>
      <c r="C12" s="99"/>
      <c r="D12" s="99"/>
      <c r="E12" s="99"/>
      <c r="F12" s="100"/>
      <c r="G12" s="24">
        <f>G10*'Fane 12. Nøgletal'!C18+G11*'Fane 12. Nøgletal'!C19</f>
        <v>92654.980163640459</v>
      </c>
      <c r="H12" s="14" t="s">
        <v>3</v>
      </c>
      <c r="I12" s="1"/>
    </row>
    <row r="13" spans="1:9" x14ac:dyDescent="0.45">
      <c r="A13" s="1"/>
      <c r="B13" s="43"/>
      <c r="C13" s="44"/>
      <c r="D13" s="44"/>
      <c r="E13" s="44"/>
      <c r="F13" s="44"/>
      <c r="G13" s="44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77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78</v>
      </c>
      <c r="C16" s="99"/>
      <c r="D16" s="99"/>
      <c r="E16" s="99"/>
      <c r="F16" s="100"/>
      <c r="G16" s="24">
        <f>(G10+G11-G12)*(1+'Fane 12. Nøgletal'!C11)</f>
        <v>10259718.637309613</v>
      </c>
      <c r="H16" s="14" t="s">
        <v>3</v>
      </c>
      <c r="I16" s="1"/>
    </row>
    <row r="17" spans="1:9" x14ac:dyDescent="0.45">
      <c r="A17" s="1"/>
      <c r="B17" s="98" t="s">
        <v>149</v>
      </c>
      <c r="C17" s="99"/>
      <c r="D17" s="99"/>
      <c r="E17" s="99"/>
      <c r="F17" s="100"/>
      <c r="G17" s="24">
        <v>129414.28448585492</v>
      </c>
      <c r="H17" s="14" t="s">
        <v>3</v>
      </c>
      <c r="I17" s="1"/>
    </row>
    <row r="18" spans="1:9" x14ac:dyDescent="0.45">
      <c r="A18" s="1"/>
      <c r="B18" s="101" t="s">
        <v>79</v>
      </c>
      <c r="C18" s="102"/>
      <c r="D18" s="102"/>
      <c r="E18" s="102"/>
      <c r="F18" s="103"/>
      <c r="G18" s="24">
        <v>659073.42944789003</v>
      </c>
      <c r="H18" s="14" t="s">
        <v>3</v>
      </c>
      <c r="I18" s="1"/>
    </row>
    <row r="19" spans="1:9" x14ac:dyDescent="0.45">
      <c r="A19" s="1"/>
      <c r="B19" s="98" t="s">
        <v>80</v>
      </c>
      <c r="C19" s="99"/>
      <c r="D19" s="99"/>
      <c r="E19" s="99"/>
      <c r="F19" s="100"/>
      <c r="G19" s="24">
        <f>SUM(G16:G18)*'Fane 12. Nøgletal'!C20</f>
        <v>96119.395255817188</v>
      </c>
      <c r="H19" s="14" t="s">
        <v>3</v>
      </c>
      <c r="I19" s="1"/>
    </row>
    <row r="20" spans="1:9" x14ac:dyDescent="0.45">
      <c r="A20" s="1"/>
      <c r="B20" s="43"/>
      <c r="C20" s="44"/>
      <c r="D20" s="44"/>
      <c r="E20" s="44"/>
      <c r="F20" s="44"/>
      <c r="G20" s="44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81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82</v>
      </c>
      <c r="C23" s="99"/>
      <c r="D23" s="99"/>
      <c r="E23" s="99"/>
      <c r="F23" s="100"/>
      <c r="G23" s="24">
        <f>(SUM(G16:G18)-G19)*(1+'Fane 12. Nøgletal'!C11)</f>
        <v>11137177.225543728</v>
      </c>
      <c r="H23" s="14" t="s">
        <v>3</v>
      </c>
      <c r="I23" s="1"/>
    </row>
    <row r="24" spans="1:9" x14ac:dyDescent="0.45">
      <c r="A24" s="1"/>
      <c r="B24" s="101" t="s">
        <v>83</v>
      </c>
      <c r="C24" s="102"/>
      <c r="D24" s="102"/>
      <c r="E24" s="102"/>
      <c r="F24" s="103"/>
      <c r="G24" s="24">
        <v>9053.8820085087009</v>
      </c>
      <c r="H24" s="14" t="s">
        <v>3</v>
      </c>
      <c r="I24" s="1"/>
    </row>
    <row r="25" spans="1:9" x14ac:dyDescent="0.45">
      <c r="A25" s="1"/>
      <c r="B25" s="98" t="s">
        <v>84</v>
      </c>
      <c r="C25" s="99"/>
      <c r="D25" s="99"/>
      <c r="E25" s="99"/>
      <c r="F25" s="100"/>
      <c r="G25" s="24">
        <f>G23*'Fane 12. Nøgletal'!C20+G24*'Fane 12. Nøgletal'!C21</f>
        <v>97150.572111272064</v>
      </c>
      <c r="H25" s="14" t="s">
        <v>3</v>
      </c>
      <c r="I25" s="1"/>
    </row>
    <row r="26" spans="1:9" x14ac:dyDescent="0.45">
      <c r="A26" s="1"/>
      <c r="B26" s="43"/>
      <c r="C26" s="44"/>
      <c r="D26" s="44"/>
      <c r="E26" s="44"/>
      <c r="F26" s="44"/>
      <c r="G26" s="44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220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85</v>
      </c>
      <c r="C29" s="99"/>
      <c r="D29" s="99"/>
      <c r="E29" s="99"/>
      <c r="F29" s="100"/>
      <c r="G29" s="24">
        <f>(G23+G24-G25)*(1+'Fane 12. Nøgletal'!C13)</f>
        <v>11183879.317973344</v>
      </c>
      <c r="H29" s="14" t="s">
        <v>3</v>
      </c>
      <c r="I29" s="1"/>
    </row>
    <row r="30" spans="1:9" x14ac:dyDescent="0.45">
      <c r="A30" s="1"/>
      <c r="B30" s="98" t="s">
        <v>192</v>
      </c>
      <c r="C30" s="99"/>
      <c r="D30" s="99"/>
      <c r="E30" s="99"/>
      <c r="F30" s="100"/>
      <c r="G30" s="24">
        <f>SUM('Fane 2.1. Økonomisk ramme 2021'!C11,'Fane 2.1. Økonomisk ramme 2021'!C13,'Fane 2.1. Økonomisk ramme 2021'!C15)*(1+'Fane 12. Nøgletal'!C13)</f>
        <v>292460.40533049917</v>
      </c>
      <c r="H30" s="14" t="s">
        <v>3</v>
      </c>
      <c r="I30" s="1"/>
    </row>
    <row r="31" spans="1:9" x14ac:dyDescent="0.45">
      <c r="A31" s="1"/>
      <c r="B31" s="98" t="s">
        <v>221</v>
      </c>
      <c r="C31" s="99"/>
      <c r="D31" s="99"/>
      <c r="E31" s="99"/>
      <c r="F31" s="100"/>
      <c r="G31" s="24">
        <f>(G29+G30)*'Fane 12. Nøgletal'!C22</f>
        <v>315599.34239085572</v>
      </c>
      <c r="H31" s="14" t="s">
        <v>3</v>
      </c>
      <c r="I31" s="1"/>
    </row>
    <row r="32" spans="1:9" x14ac:dyDescent="0.45">
      <c r="A32" s="1"/>
      <c r="B32" s="43"/>
      <c r="C32" s="44"/>
      <c r="D32" s="44"/>
      <c r="E32" s="44"/>
      <c r="F32" s="44"/>
      <c r="G32" s="44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225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88</v>
      </c>
      <c r="C35" s="99"/>
      <c r="D35" s="99"/>
      <c r="E35" s="99"/>
      <c r="F35" s="100"/>
      <c r="G35" s="24">
        <f>(G29+G30-G31)*(1+'Fane 12. Nøgletal'!C13)</f>
        <v>11296901.413560126</v>
      </c>
      <c r="H35" s="14" t="s">
        <v>3</v>
      </c>
      <c r="I35" s="1"/>
    </row>
    <row r="36" spans="1:9" x14ac:dyDescent="0.45">
      <c r="A36" s="1"/>
      <c r="B36" s="98" t="s">
        <v>107</v>
      </c>
      <c r="C36" s="99"/>
      <c r="D36" s="99"/>
      <c r="E36" s="99"/>
      <c r="F36" s="100"/>
      <c r="G36" s="24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98" t="s">
        <v>226</v>
      </c>
      <c r="C37" s="99"/>
      <c r="D37" s="99"/>
      <c r="E37" s="99"/>
      <c r="F37" s="100"/>
      <c r="G37" s="24">
        <f>(G35+G36)*'Fane 12. Nøgletal'!C22</f>
        <v>310664.78887290345</v>
      </c>
      <c r="H37" s="14" t="s">
        <v>3</v>
      </c>
      <c r="I37" s="1"/>
    </row>
    <row r="38" spans="1:9" x14ac:dyDescent="0.45">
      <c r="A38" s="1"/>
      <c r="B38" s="43"/>
      <c r="C38" s="44"/>
      <c r="D38" s="44"/>
      <c r="E38" s="44"/>
      <c r="F38" s="44"/>
      <c r="G38" s="44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92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87</v>
      </c>
      <c r="C41" s="99"/>
      <c r="D41" s="99"/>
      <c r="E41" s="99"/>
      <c r="F41" s="100"/>
      <c r="G41" s="24">
        <f>(G35+G36-G37)*(1+'Fane 12. Nøgletal'!C13)</f>
        <v>11120268.711508406</v>
      </c>
      <c r="H41" s="14" t="s">
        <v>3</v>
      </c>
      <c r="I41" s="1"/>
    </row>
    <row r="42" spans="1:9" x14ac:dyDescent="0.45">
      <c r="A42" s="1"/>
      <c r="B42" s="98" t="s">
        <v>108</v>
      </c>
      <c r="C42" s="99"/>
      <c r="D42" s="99"/>
      <c r="E42" s="99"/>
      <c r="F42" s="100"/>
      <c r="G42" s="24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98" t="s">
        <v>86</v>
      </c>
      <c r="C43" s="99"/>
      <c r="D43" s="99"/>
      <c r="E43" s="99"/>
      <c r="F43" s="100"/>
      <c r="G43" s="24">
        <f>(G41+G42)*'Fane 12. Nøgletal'!C22</f>
        <v>305807.38956648117</v>
      </c>
      <c r="H43" s="14" t="s">
        <v>3</v>
      </c>
      <c r="I43" s="1"/>
    </row>
    <row r="44" spans="1:9" x14ac:dyDescent="0.45">
      <c r="A44" s="1"/>
      <c r="B44" s="43"/>
      <c r="C44" s="44"/>
      <c r="D44" s="44"/>
      <c r="E44" s="44"/>
      <c r="F44" s="44"/>
      <c r="G44" s="44"/>
      <c r="H44" s="20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95" t="s">
        <v>193</v>
      </c>
      <c r="C46" s="96"/>
      <c r="D46" s="96"/>
      <c r="E46" s="96"/>
      <c r="F46" s="96"/>
      <c r="G46" s="96"/>
      <c r="H46" s="97"/>
      <c r="I46" s="1"/>
    </row>
    <row r="47" spans="1:9" x14ac:dyDescent="0.45">
      <c r="A47" s="1"/>
      <c r="B47" s="98" t="s">
        <v>194</v>
      </c>
      <c r="C47" s="99"/>
      <c r="D47" s="99"/>
      <c r="E47" s="99"/>
      <c r="F47" s="100"/>
      <c r="G47" s="24">
        <f>(G41+G42-G43)*(1+'Fane 12. Nøgletal'!C13)</f>
        <v>10946397.750069616</v>
      </c>
      <c r="H47" s="14" t="s">
        <v>3</v>
      </c>
      <c r="I47" s="1"/>
    </row>
    <row r="48" spans="1:9" x14ac:dyDescent="0.45">
      <c r="A48" s="1"/>
      <c r="B48" s="98" t="s">
        <v>195</v>
      </c>
      <c r="C48" s="99"/>
      <c r="D48" s="99"/>
      <c r="E48" s="99"/>
      <c r="F48" s="100"/>
      <c r="G48" s="24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98" t="s">
        <v>196</v>
      </c>
      <c r="C49" s="99"/>
      <c r="D49" s="99"/>
      <c r="E49" s="99"/>
      <c r="F49" s="100"/>
      <c r="G49" s="24">
        <f>(G47+G48)*'Fane 12. Nøgletal'!C22</f>
        <v>301025.93812691444</v>
      </c>
      <c r="H49" s="14" t="s">
        <v>3</v>
      </c>
      <c r="I49" s="1"/>
    </row>
    <row r="50" spans="1:9" x14ac:dyDescent="0.45">
      <c r="A50" s="1"/>
      <c r="B50" s="43"/>
      <c r="C50" s="44"/>
      <c r="D50" s="44"/>
      <c r="E50" s="44"/>
      <c r="F50" s="44"/>
      <c r="G50" s="44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101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9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124</v>
      </c>
      <c r="C9" s="99"/>
      <c r="D9" s="99"/>
      <c r="E9" s="99"/>
      <c r="F9" s="100"/>
      <c r="G9" s="23">
        <v>0.02</v>
      </c>
      <c r="H9" s="14"/>
      <c r="I9" s="1"/>
    </row>
    <row r="10" spans="1:9" x14ac:dyDescent="0.45">
      <c r="A10" s="1"/>
      <c r="B10" s="98" t="s">
        <v>181</v>
      </c>
      <c r="C10" s="99"/>
      <c r="D10" s="99"/>
      <c r="E10" s="99"/>
      <c r="F10" s="100"/>
      <c r="G10" s="23">
        <v>1.7329079310271209E-2</v>
      </c>
      <c r="H10" s="14"/>
      <c r="I10" s="1"/>
    </row>
    <row r="11" spans="1:9" x14ac:dyDescent="0.45">
      <c r="A11" s="1"/>
      <c r="B11" s="43"/>
      <c r="C11" s="44"/>
      <c r="D11" s="44"/>
      <c r="E11" s="44"/>
      <c r="F11" s="44"/>
      <c r="G11" s="44"/>
      <c r="H11" s="20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18"/>
      <c r="B13" s="105" t="s">
        <v>227</v>
      </c>
      <c r="C13" s="105"/>
      <c r="D13" s="105"/>
      <c r="E13" s="105"/>
      <c r="F13" s="105"/>
      <c r="G13" s="105"/>
      <c r="H13" s="105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2020-10-27T11:03:38Z</dcterms:modified>
</cp:coreProperties>
</file>