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arhus Vand AS (V22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C17" i="19" l="1"/>
  <c r="E33" i="32" l="1"/>
  <c r="E39" i="32" s="1"/>
  <c r="E41" i="32" s="1"/>
  <c r="E16" i="27" l="1"/>
  <c r="E12" i="11" l="1"/>
  <c r="E13" i="1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4" i="11"/>
  <c r="C10" i="37" s="1"/>
  <c r="C14" i="37" s="1"/>
  <c r="G14" i="11"/>
  <c r="C15" i="37" l="1"/>
  <c r="C10" i="2" s="1"/>
  <c r="E11" i="21"/>
  <c r="E12" i="21" s="1"/>
  <c r="C11" i="21"/>
  <c r="C12" i="21" s="1"/>
  <c r="E11" i="29"/>
  <c r="E12" i="29" s="1"/>
  <c r="C11" i="29"/>
  <c r="C12" i="29" s="1"/>
  <c r="C18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4" i="11"/>
  <c r="E10" i="37" s="1"/>
  <c r="E14" i="37" s="1"/>
  <c r="G35" i="30" l="1"/>
  <c r="G37" i="30" s="1"/>
  <c r="C18" i="2"/>
  <c r="E15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<sst xmlns="http://schemas.openxmlformats.org/spreadsheetml/2006/main" count="611" uniqueCount="258">
  <si>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</si>
  <si>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</si>
  <si>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</si>
  <si>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</si>
  <si>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</si>
  <si>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</si>
  <si>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</si>
  <si>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</si>
  <si>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</si>
  <si>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</si>
  <si>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</si>
  <si>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</si>
  <si>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</si>
  <si>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</si>
  <si>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</si>
  <si>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</si>
  <si>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</si>
  <si>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</si>
  <si>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</si>
  <si>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</si>
  <si>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</si>
  <si>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</si>
  <si>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</si>
  <si>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</si>
  <si>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</si>
  <si>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</si>
  <si>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</si>
  <si>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</si>
  <si>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</si>
  <si>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</si>
  <si>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</si>
  <si>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</si>
  <si>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</si>
  <si>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</si>
  <si>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</si>
  <si>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</si>
  <si>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</si>
  <si>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</si>
  <si>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</si>
  <si>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</si>
  <si>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</si>
  <si>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</si>
  <si>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</si>
  <si>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</si>
  <si>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</si>
  <si>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</si>
  <si>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</si>
  <si>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</si>
  <si>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</si>
  <si>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</si>
  <si>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</si>
  <si>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</si>
  <si>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</si>
  <si>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</si>
  <si>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</si>
  <si>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</si>
  <si>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</si>
  <si>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</si>
  <si>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</si>
  <si>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</si>
  <si>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</si>
  <si>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</si>
  <si>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</si>
  <si>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</si>
  <si>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</si>
  <si>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</si>
  <si>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</si>
  <si>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</si>
  <si>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</si>
  <si>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</si>
  <si>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</si>
  <si>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</si>
  <si>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</si>
  <si>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</si>
  <si>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</si>
  <si>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</si>
  <si>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</si>
  <si>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</si>
  <si>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</si>
  <si>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</si>
  <si>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</si>
  <si>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</si>
  <si>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</si>
  <si>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</si>
  <si>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</si>
  <si>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</si>
  <si>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</si>
  <si>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</si>
  <si>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</si>
  <si>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</si>
  <si>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</si>
  <si>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</si>
  <si>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</si>
  <si>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</si>
  <si>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</si>
  <si>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</si>
  <si>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</si>
  <si>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</si>
  <si>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</si>
  <si>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</si>
  <si>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</si>
  <si>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</si>
  <si>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</si>
  <si>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</si>
  <si>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</si>
  <si>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</si>
  <si>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</si>
  <si>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</si>
  <si>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</si>
  <si>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</si>
  <si>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</si>
  <si>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</si>
  <si>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</si>
  <si>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</si>
  <si>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</si>
  <si>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</si>
  <si>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</si>
  <si>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</si>
  <si>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</si>
  <si>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</si>
  <si>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</si>
  <si>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</si>
  <si>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</si>
  <si>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</si>
  <si>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</si>
  <si>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</si>
  <si>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</si>
  <si>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</si>
  <si>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</si>
  <si>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</si>
  <si>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</si>
  <si>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</si>
  <si>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</si>
  <si>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</si>
  <si>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</si>
  <si>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</si>
  <si>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</si>
  <si>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</si>
  <si>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</si>
  <si>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</si>
  <si>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</si>
  <si>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</si>
  <si>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</si>
  <si>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</si>
  <si>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</si>
  <si>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</si>
  <si>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</si>
  <si>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</si>
  <si>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</si>
  <si>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</si>
  <si>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</si>
  <si>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</si>
  <si>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</si>
  <si>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</si>
  <si>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</si>
  <si>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</si>
  <si>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</si>
  <si>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</si>
  <si>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</si>
  <si>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</si>
  <si>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</si>
  <si>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</si>
  <si>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</si>
  <si>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</si>
  <si>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</si>
  <si>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</si>
  <si>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</si>
  <si>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</si>
  <si>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</si>
  <si>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</si>
  <si>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</si>
  <si>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</si>
  <si>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</si>
  <si>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</si>
  <si>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</si>
  <si>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</si>
  <si>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</si>
  <si>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</si>
  <si>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</si>
  <si>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</si>
  <si>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</si>
  <si>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</si>
  <si>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</si>
  <si>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</si>
  <si>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</si>
  <si>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</si>
  <si>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</si>
  <si>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</si>
  <si>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</si>
  <si>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</si>
  <si>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</si>
  <si>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</si>
  <si>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</si>
  <si>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</si>
  <si>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</si>
  <si>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</si>
  <si>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</si>
  <si>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</si>
  <si>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</si>
  <si>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</si>
  <si>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</si>
  <si>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</si>
  <si>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</si>
  <si>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</si>
  <si>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</si>
  <si>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</si>
  <si>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</si>
  <si>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</si>
  <si>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</si>
  <si>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</si>
  <si>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</si>
  <si>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</si>
  <si>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</si>
  <si>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</si>
  <si>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</si>
  <si>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</si>
  <si>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</si>
  <si>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</si>
  <si>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</si>
  <si>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</si>
  <si>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</si>
  <si>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</si>
  <si>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</si>
  <si>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</si>
  <si>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</si>
  <si>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</si>
  <si>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</si>
  <si>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</si>
  <si>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</si>
  <si>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</si>
  <si>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</si>
  <si>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</si>
  <si>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</si>
  <si>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</si>
  <si>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</si>
  <si>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</si>
  <si>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</si>
  <si>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</si>
  <si>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</si>
  <si>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Erstatninger</t>
  </si>
  <si>
    <t>Vandsamarbejde etableret i medfør af § 52b i vandforsyningsloven</t>
  </si>
  <si>
    <t>Ingen tilknyttet virksomhed</t>
  </si>
  <si>
    <t>Strukturplan og udvidet prøvetagning</t>
  </si>
  <si>
    <t>Udvidelse af forsyningsområdet</t>
  </si>
  <si>
    <t>Indvindingstilladelse</t>
  </si>
  <si>
    <t>Indvindingstilladelser</t>
  </si>
  <si>
    <t>Ingen engangstillæg</t>
  </si>
  <si>
    <t>Ingen bortfald eller nedsættelse</t>
  </si>
  <si>
    <t>Grundvandsbeskyttelse VPU</t>
  </si>
  <si>
    <t>Økonomisk ramme for 2024</t>
  </si>
  <si>
    <t>Skyllevandsbehandling, inkl. UV-filter mv., SRO</t>
  </si>
  <si>
    <t>10</t>
  </si>
  <si>
    <t>Beluftningsanlæg, iltningstrappe, Mek./EL</t>
  </si>
  <si>
    <t>25</t>
  </si>
  <si>
    <t>Beluftningsanlæg, iltningstrappe, Kontruktioner</t>
  </si>
  <si>
    <t>50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</si>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</sst>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0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9" t="s">
        <v>234</v>
      </c>
      <c r="C10" s="9">
        <v>86493420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235</v>
      </c>
      <c r="C11" s="9">
        <v>321173</v>
      </c>
      <c r="D11" s="14" t="s">
        <v>3</v>
      </c>
      <c r="E11" s="1"/>
      <c r="F11" s="1"/>
    </row>
    <row r="12" spans="1:6" ht="15" customHeight="1" x14ac:dyDescent="0.25">
      <c r="A12" s="1"/>
      <c r="B12" s="49" t="s">
        <v>236</v>
      </c>
      <c r="C12" s="9">
        <v>115167</v>
      </c>
      <c r="D12" s="14" t="s">
        <v>3</v>
      </c>
      <c r="E12" s="1"/>
      <c r="F12" s="1"/>
    </row>
    <row r="13" spans="1:6" ht="15" customHeight="1" x14ac:dyDescent="0.25">
      <c r="A13" s="1"/>
      <c r="B13" s="49" t="s">
        <v>237</v>
      </c>
      <c r="C13" s="9">
        <v>614615</v>
      </c>
      <c r="D13" s="14" t="s">
        <v>3</v>
      </c>
      <c r="E13" s="1"/>
      <c r="F13" s="1"/>
    </row>
    <row r="14" spans="1:6" x14ac:dyDescent="0.25">
      <c r="A14" s="1"/>
      <c r="B14" s="49" t="s">
        <v>238</v>
      </c>
      <c r="C14" s="9">
        <v>8851535</v>
      </c>
      <c r="D14" s="14" t="s">
        <v>3</v>
      </c>
      <c r="E14" s="1"/>
      <c r="F14" s="1"/>
    </row>
    <row r="15" spans="1:6" x14ac:dyDescent="0.25">
      <c r="A15" s="1"/>
      <c r="B15" s="49" t="s">
        <v>239</v>
      </c>
      <c r="C15" s="9">
        <v>127938</v>
      </c>
      <c r="D15" s="14" t="s">
        <v>3</v>
      </c>
      <c r="E15" s="1"/>
      <c r="F15" s="1"/>
    </row>
    <row r="16" spans="1:6" x14ac:dyDescent="0.25">
      <c r="A16" s="1"/>
      <c r="B16" s="49" t="s">
        <v>240</v>
      </c>
      <c r="C16" s="9">
        <v>7581424.5</v>
      </c>
      <c r="D16" s="14" t="s">
        <v>3</v>
      </c>
      <c r="E16" s="1"/>
      <c r="F16" s="1"/>
    </row>
    <row r="17" spans="1:6" x14ac:dyDescent="0.25">
      <c r="A17" s="1"/>
      <c r="B17" s="45" t="s">
        <v>169</v>
      </c>
      <c r="C17" s="12">
        <f>SUM(C10:C16)</f>
        <v>104105272.5</v>
      </c>
      <c r="D17" s="13" t="s">
        <v>3</v>
      </c>
      <c r="E17" s="1"/>
      <c r="F17" s="1"/>
    </row>
    <row r="18" spans="1:6" x14ac:dyDescent="0.25">
      <c r="A18" s="1"/>
      <c r="B18" s="45" t="s">
        <v>170</v>
      </c>
      <c r="C18" s="12">
        <f>C17*(1+'Fane 12. Nøgletal'!C13)^2</f>
        <v>106660936.1777589</v>
      </c>
      <c r="D18" s="13" t="s">
        <v>3</v>
      </c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6"/>
      <c r="C20" s="15"/>
      <c r="D20" s="15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-11287924.701666668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6136837.3294971287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-5151087.3721695393</v>
      </c>
      <c r="F9" s="17" t="s">
        <v>3</v>
      </c>
      <c r="G9" s="1"/>
    </row>
    <row r="10" spans="1:7" ht="15" customHeight="1" x14ac:dyDescent="0.25">
      <c r="A10" s="1"/>
      <c r="B10" s="45"/>
      <c r="C10" s="46"/>
      <c r="D10" s="46"/>
      <c r="E10" s="46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252884782.01621237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253856496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-971713.98378762603</v>
      </c>
      <c r="F17" s="17" t="s">
        <v>3</v>
      </c>
      <c r="G17" s="1"/>
    </row>
    <row r="18" spans="1:7" x14ac:dyDescent="0.25">
      <c r="A18" s="1"/>
      <c r="B18" s="45"/>
      <c r="C18" s="46"/>
      <c r="D18" s="46"/>
      <c r="E18" s="46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246440976.3798632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257736790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1818982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-9476831.6201367974</v>
      </c>
      <c r="F25" s="17" t="s">
        <v>3</v>
      </c>
      <c r="G25" s="1"/>
    </row>
    <row r="26" spans="1:7" x14ac:dyDescent="0.25">
      <c r="A26" s="1"/>
      <c r="B26" s="45"/>
      <c r="C26" s="46"/>
      <c r="D26" s="46"/>
      <c r="E26" s="46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253777249.5999614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246337149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7440100.5999614</v>
      </c>
      <c r="F33" s="17" t="s">
        <v>3</v>
      </c>
      <c r="G33" s="1"/>
    </row>
    <row r="34" spans="1:7" x14ac:dyDescent="0.25">
      <c r="A34" s="1"/>
      <c r="B34" s="45"/>
      <c r="C34" s="46"/>
      <c r="D34" s="46"/>
      <c r="E34" s="46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256</v>
      </c>
      <c r="C37" s="111"/>
      <c r="D37" s="112"/>
      <c r="E37" s="9">
        <v>0</v>
      </c>
      <c r="F37" s="14"/>
      <c r="G37" s="1"/>
    </row>
    <row r="38" spans="1:7" x14ac:dyDescent="0.25">
      <c r="A38" s="1"/>
      <c r="B38" s="110" t="s">
        <v>257</v>
      </c>
      <c r="C38" s="111"/>
      <c r="D38" s="112"/>
      <c r="E38" s="9">
        <v>0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-9476831.6201367974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-4738415.8100683987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ht="26.25" x14ac:dyDescent="0.25">
      <c r="A10" s="1"/>
      <c r="B10" s="52" t="s">
        <v>250</v>
      </c>
      <c r="C10" s="53" t="s">
        <v>251</v>
      </c>
      <c r="D10" s="9">
        <v>7632591.0099999998</v>
      </c>
      <c r="E10" s="9">
        <f>IFERROR(D10/C10,0)</f>
        <v>763259.10100000002</v>
      </c>
      <c r="F10" s="9">
        <v>0</v>
      </c>
      <c r="G10" s="9">
        <v>265192.74</v>
      </c>
      <c r="H10" s="14" t="s">
        <v>3</v>
      </c>
      <c r="I10" s="1"/>
    </row>
    <row r="11" spans="1:9" ht="26.25" x14ac:dyDescent="0.25">
      <c r="A11" s="1"/>
      <c r="B11" s="52" t="s">
        <v>252</v>
      </c>
      <c r="C11" s="53" t="s">
        <v>253</v>
      </c>
      <c r="D11" s="9">
        <v>15265182.02</v>
      </c>
      <c r="E11" s="9">
        <f>IFERROR(D11/C11,0)</f>
        <v>610607.28079999995</v>
      </c>
      <c r="F11" s="9">
        <v>0</v>
      </c>
      <c r="G11" s="9">
        <v>530385.48</v>
      </c>
      <c r="H11" s="14" t="s">
        <v>3</v>
      </c>
      <c r="I11" s="1"/>
    </row>
    <row r="12" spans="1:9" ht="39" x14ac:dyDescent="0.25">
      <c r="A12" s="1"/>
      <c r="B12" s="52" t="s">
        <v>254</v>
      </c>
      <c r="C12" s="53" t="s">
        <v>255</v>
      </c>
      <c r="D12" s="9">
        <v>7632591.0099999998</v>
      </c>
      <c r="E12" s="9">
        <f t="shared" ref="E12:E13" si="0">IFERROR(D12/C12,0)</f>
        <v>152651.82019999999</v>
      </c>
      <c r="F12" s="9">
        <v>0</v>
      </c>
      <c r="G12" s="9">
        <v>265192.74</v>
      </c>
      <c r="H12" s="14" t="s">
        <v>3</v>
      </c>
      <c r="I12" s="1"/>
    </row>
    <row r="13" spans="1:9" ht="39" x14ac:dyDescent="0.25">
      <c r="A13" s="1"/>
      <c r="B13" s="52" t="s">
        <v>254</v>
      </c>
      <c r="C13" s="53" t="s">
        <v>255</v>
      </c>
      <c r="D13" s="9">
        <v>44110452.25</v>
      </c>
      <c r="E13" s="9">
        <f t="shared" si="0"/>
        <v>882209.04500000004</v>
      </c>
      <c r="F13" s="9">
        <v>0</v>
      </c>
      <c r="G13" s="9">
        <v>1532608.21</v>
      </c>
      <c r="H13" s="14" t="s">
        <v>3</v>
      </c>
      <c r="I13" s="1"/>
    </row>
    <row r="14" spans="1:9" x14ac:dyDescent="0.25">
      <c r="A14" s="1"/>
      <c r="B14" s="96" t="s">
        <v>198</v>
      </c>
      <c r="C14" s="97"/>
      <c r="D14" s="98"/>
      <c r="E14" s="12">
        <f>SUM(E10:E13)</f>
        <v>2408727.247</v>
      </c>
      <c r="F14" s="12">
        <f t="shared" ref="F14:G14" si="1">SUM(F10:F13)</f>
        <v>0</v>
      </c>
      <c r="G14" s="12">
        <f t="shared" si="1"/>
        <v>2593379.17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44</v>
      </c>
      <c r="C10" s="22">
        <f>'Fane 8. Anlægsprojekter'!F14</f>
        <v>0</v>
      </c>
      <c r="D10" s="14" t="s">
        <v>3</v>
      </c>
      <c r="E10" s="9">
        <f>SUM('Fane 8. Anlægsprojekter'!E14,'Fane 8. Anlægsprojekter'!G14)</f>
        <v>5002106.4169999994</v>
      </c>
      <c r="F10" s="14" t="s">
        <v>3</v>
      </c>
      <c r="G10" s="1"/>
    </row>
    <row r="11" spans="1:7" x14ac:dyDescent="0.25">
      <c r="A11" s="1"/>
      <c r="B11" s="25" t="s">
        <v>242</v>
      </c>
      <c r="C11" s="22">
        <v>184450</v>
      </c>
      <c r="D11" s="14" t="s">
        <v>3</v>
      </c>
      <c r="E11" s="9">
        <v>608122</v>
      </c>
      <c r="F11" s="14" t="s">
        <v>3</v>
      </c>
      <c r="G11" s="1"/>
    </row>
    <row r="12" spans="1:7" x14ac:dyDescent="0.25">
      <c r="A12" s="1"/>
      <c r="B12" s="54" t="s">
        <v>243</v>
      </c>
      <c r="C12" s="22">
        <v>1398071</v>
      </c>
      <c r="D12" s="14" t="s">
        <v>3</v>
      </c>
      <c r="E12" s="9">
        <v>416690</v>
      </c>
      <c r="F12" s="14" t="s">
        <v>3</v>
      </c>
      <c r="G12" s="1"/>
    </row>
    <row r="13" spans="1:7" x14ac:dyDescent="0.25">
      <c r="A13" s="1"/>
      <c r="B13" s="25" t="s">
        <v>244</v>
      </c>
      <c r="C13" s="22">
        <v>12364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5" t="s">
        <v>48</v>
      </c>
      <c r="C14" s="12">
        <f>SUM(C10:C13)</f>
        <v>1594885</v>
      </c>
      <c r="D14" s="13" t="s">
        <v>3</v>
      </c>
      <c r="E14" s="12">
        <f>SUM(E10:E13)</f>
        <v>6026918.4169999994</v>
      </c>
      <c r="F14" s="13" t="s">
        <v>3</v>
      </c>
      <c r="G14" s="1"/>
    </row>
    <row r="15" spans="1:7" x14ac:dyDescent="0.25">
      <c r="A15" s="1"/>
      <c r="B15" s="45" t="s">
        <v>173</v>
      </c>
      <c r="C15" s="12">
        <f>C14*(1+'Fane 12. Nøgletal'!C13)</f>
        <v>1614342.5970000001</v>
      </c>
      <c r="D15" s="13" t="s">
        <v>3</v>
      </c>
      <c r="E15" s="12">
        <f>E14*(1+'Fane 12. Nøgletal'!C13)</f>
        <v>6100446.8216873994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Ud0b/DFlH39PK/lpZRoMlFOpI+9cq5S2h5ro+A74AwaVUdSBrjo+HjPsDtfluAeTphD7sEQ/RlTHY49KHCNSZA==" saltValue="LBj25Vq1dLE08J/y9sjK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25">
      <c r="A10" s="1"/>
      <c r="B10" s="25" t="s">
        <v>245</v>
      </c>
      <c r="C10" s="22">
        <v>370920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174</v>
      </c>
      <c r="C11" s="12">
        <f>SUM(C10:C10)</f>
        <v>370920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-4877.5860965390784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-7418.4000000000005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5" t="s">
        <v>122</v>
      </c>
      <c r="C14" s="12">
        <f>SUM(C11:C13)*(1+'Fane 12. Nøgletal'!C13)^2</f>
        <v>367427.81744093471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jUuUNwG8FriKVZhUHSgYMFRd0x0767h/CkSC5qLuIWjNypVzFtdBQiLsFCp0LU1wcJwXjHH0ZJzzz1N7LY2ZQ==" saltValue="pJa26O5w1LEcJd/s9MLtf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25">
      <c r="A10" s="1"/>
      <c r="B10" s="25" t="s">
        <v>248</v>
      </c>
      <c r="C10" s="9">
        <v>3359565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49</v>
      </c>
      <c r="C11" s="12">
        <f>SUM(C10:C10)</f>
        <v>3359565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104</v>
      </c>
      <c r="C12" s="12">
        <f>C11*(1+'Fane 12. Nøgletal'!C13)</f>
        <v>3400551.693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25">
      <c r="A17" s="1"/>
      <c r="B17" s="25" t="s">
        <v>247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25">
      <c r="A24" s="1"/>
      <c r="B24" s="25" t="s">
        <v>247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25">
      <c r="A31" s="1"/>
      <c r="B31" s="25" t="s">
        <v>247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aLOaVG28P2y6qOHhc3Z8gg2sAapi0f0EzoSCvCnaHtY/20yDKxprn0qNEwS6cYEDeNW/UM7WiOfMSR6ZH5MJA==" saltValue="qiysqVxPYoFkyA0ABA/zB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14</v>
      </c>
      <c r="C8" s="20"/>
      <c r="D8" s="1"/>
    </row>
    <row r="9" spans="1:4" x14ac:dyDescent="0.25">
      <c r="A9" s="1"/>
      <c r="B9" s="49" t="s">
        <v>141</v>
      </c>
      <c r="C9" s="26">
        <v>1.2699999999999999E-2</v>
      </c>
      <c r="D9" s="1"/>
    </row>
    <row r="10" spans="1:4" x14ac:dyDescent="0.25">
      <c r="A10" s="1"/>
      <c r="B10" s="49" t="s">
        <v>22</v>
      </c>
      <c r="C10" s="26">
        <v>1.7500000000000002E-2</v>
      </c>
      <c r="D10" s="1"/>
    </row>
    <row r="11" spans="1:4" x14ac:dyDescent="0.25">
      <c r="A11" s="1"/>
      <c r="B11" s="49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5" t="s">
        <v>126</v>
      </c>
      <c r="C17" s="20"/>
      <c r="D17" s="1"/>
    </row>
    <row r="18" spans="1:4" x14ac:dyDescent="0.25">
      <c r="A18" s="1"/>
      <c r="B18" s="49" t="s">
        <v>143</v>
      </c>
      <c r="C18" s="23">
        <v>9.1000000000000004E-3</v>
      </c>
      <c r="D18" s="1"/>
    </row>
    <row r="19" spans="1:4" x14ac:dyDescent="0.25">
      <c r="A19" s="1"/>
      <c r="B19" s="49" t="s">
        <v>144</v>
      </c>
      <c r="C19" s="23">
        <v>1.77E-2</v>
      </c>
      <c r="D19" s="1"/>
    </row>
    <row r="20" spans="1:4" x14ac:dyDescent="0.25">
      <c r="A20" s="1"/>
      <c r="B20" s="49" t="s">
        <v>145</v>
      </c>
      <c r="C20" s="23">
        <v>8.6999999999999994E-3</v>
      </c>
      <c r="D20" s="1"/>
    </row>
    <row r="21" spans="1:4" x14ac:dyDescent="0.25">
      <c r="A21" s="1"/>
      <c r="B21" s="49" t="s">
        <v>146</v>
      </c>
      <c r="C21" s="36">
        <v>2.8400000000000002E-2</v>
      </c>
      <c r="D21" s="1"/>
    </row>
    <row r="22" spans="1:4" x14ac:dyDescent="0.25">
      <c r="A22" s="1"/>
      <c r="B22" s="49" t="s">
        <v>186</v>
      </c>
      <c r="C22" s="36">
        <v>2.75E-2</v>
      </c>
      <c r="D22" s="1"/>
    </row>
    <row r="23" spans="1:4" x14ac:dyDescent="0.25">
      <c r="A23" s="1"/>
      <c r="B23" s="45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5" t="s">
        <v>127</v>
      </c>
      <c r="C26" s="20"/>
      <c r="D26" s="1"/>
    </row>
    <row r="27" spans="1:4" x14ac:dyDescent="0.25">
      <c r="A27" s="1"/>
      <c r="B27" s="49" t="s">
        <v>147</v>
      </c>
      <c r="C27" s="26">
        <v>0.02</v>
      </c>
      <c r="D27" s="1"/>
    </row>
    <row r="28" spans="1:4" x14ac:dyDescent="0.25">
      <c r="A28" s="1"/>
      <c r="B28" s="45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158026204.15265661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tillæg'!C15</f>
        <v>1614342.5970000001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tillæg'!E15</f>
        <v>6100446.8216873994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-3400551.693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1980553.3909157973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-2160815.814447335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-1817998.5416982297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-2144905.1198298531</v>
      </c>
      <c r="D19" s="8" t="s">
        <v>3</v>
      </c>
      <c r="E19" s="1"/>
    </row>
    <row r="20" spans="1:5" ht="17.100000000000001" customHeight="1" x14ac:dyDescent="0.25">
      <c r="A20" s="1"/>
      <c r="B20" s="50" t="s">
        <v>20</v>
      </c>
      <c r="C20" s="10">
        <f>SUM(C9:C19)</f>
        <v>158197275.79328442</v>
      </c>
      <c r="D20" s="11" t="s">
        <v>3</v>
      </c>
      <c r="E20" s="1"/>
    </row>
    <row r="21" spans="1:5" ht="15" customHeight="1" x14ac:dyDescent="0.25">
      <c r="A21" s="1"/>
      <c r="B21" s="45" t="s">
        <v>12</v>
      </c>
      <c r="C21" s="46"/>
      <c r="D21" s="20"/>
      <c r="E21" s="1"/>
    </row>
    <row r="22" spans="1:5" ht="15" customHeight="1" x14ac:dyDescent="0.25">
      <c r="A22" s="1"/>
      <c r="B22" s="41" t="s">
        <v>12</v>
      </c>
      <c r="C22" s="10">
        <f>'Fane 6. Ikke-påvirkelige omk.'!C18</f>
        <v>106660936.1777589</v>
      </c>
      <c r="D22" s="11" t="s">
        <v>3</v>
      </c>
      <c r="E22" s="1"/>
    </row>
    <row r="23" spans="1:5" ht="15" customHeight="1" x14ac:dyDescent="0.25">
      <c r="A23" s="1"/>
      <c r="B23" s="45" t="s">
        <v>99</v>
      </c>
      <c r="C23" s="46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367427.81744093471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0" t="s">
        <v>100</v>
      </c>
      <c r="C26" s="10">
        <f>SUM(C24:C25)</f>
        <v>367427.81744093471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6"/>
      <c r="D27" s="20"/>
      <c r="E27" s="1"/>
    </row>
    <row r="28" spans="1:5" x14ac:dyDescent="0.25">
      <c r="A28" s="1"/>
      <c r="B28" s="51" t="s">
        <v>205</v>
      </c>
      <c r="C28" s="10">
        <f>'Fane 7. Kontrol af ØR2019'!E41</f>
        <v>-4738415.8100683987</v>
      </c>
      <c r="D28" s="11" t="s">
        <v>3</v>
      </c>
      <c r="E28" s="1"/>
    </row>
    <row r="29" spans="1:5" x14ac:dyDescent="0.25">
      <c r="A29" s="1"/>
      <c r="B29" s="45" t="s">
        <v>31</v>
      </c>
      <c r="C29" s="32">
        <f>SUM(C20,C22,C26,C28)</f>
        <v>260487223.97841585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13</v>
      </c>
      <c r="C8" s="46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158197275.79328442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1930006.7646780701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-2105668.6268772301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-1803374.5614288088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-2111368.4558287533</v>
      </c>
      <c r="D15" s="8" t="s">
        <v>3</v>
      </c>
      <c r="E15" s="1"/>
    </row>
    <row r="16" spans="1:5" ht="15" customHeight="1" x14ac:dyDescent="0.25">
      <c r="A16" s="1"/>
      <c r="B16" s="40" t="s">
        <v>20</v>
      </c>
      <c r="C16" s="10">
        <f>SUM(C9:C15)</f>
        <v>154106870.91382769</v>
      </c>
      <c r="D16" s="11" t="s">
        <v>3</v>
      </c>
      <c r="E16" s="1"/>
    </row>
    <row r="17" spans="1:5" x14ac:dyDescent="0.25">
      <c r="A17" s="1"/>
      <c r="B17" s="45" t="s">
        <v>12</v>
      </c>
      <c r="C17" s="46"/>
      <c r="D17" s="20"/>
      <c r="E17" s="1"/>
    </row>
    <row r="18" spans="1:5" ht="15" customHeight="1" x14ac:dyDescent="0.25">
      <c r="A18" s="1"/>
      <c r="B18" s="41" t="s">
        <v>12</v>
      </c>
      <c r="C18" s="10">
        <f>'Fane 6. Ikke-påvirkelige omk.'!C18*(1+'Fane 12. Nøgletal'!C13)</f>
        <v>107962199.59912756</v>
      </c>
      <c r="D18" s="11" t="s">
        <v>3</v>
      </c>
      <c r="E18" s="1"/>
    </row>
    <row r="19" spans="1:5" ht="15" customHeight="1" x14ac:dyDescent="0.25">
      <c r="A19" s="1"/>
      <c r="B19" s="45" t="s">
        <v>99</v>
      </c>
      <c r="C19" s="46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6"/>
      <c r="D23" s="20"/>
      <c r="E23" s="1"/>
    </row>
    <row r="24" spans="1:5" ht="15" customHeight="1" x14ac:dyDescent="0.25">
      <c r="A24" s="1"/>
      <c r="B24" s="51" t="s">
        <v>205</v>
      </c>
      <c r="C24" s="10">
        <f>'Fane 7. Kontrol af ØR2019'!E41</f>
        <v>-4738415.8100683987</v>
      </c>
      <c r="D24" s="11" t="s">
        <v>3</v>
      </c>
      <c r="E24" s="1"/>
    </row>
    <row r="25" spans="1:5" x14ac:dyDescent="0.25">
      <c r="A25" s="1"/>
      <c r="B25" s="45" t="s">
        <v>32</v>
      </c>
      <c r="C25" s="12">
        <f>SUM(C16,C18,C22,C24)</f>
        <v>257330654.70288685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Zzz2zvQOaKQcmnxa1dllDI75PrCoeJ7TdiuLOMiVb+vA4+4MgRDPsNl0wzMlSHkOQaRNdwXWTN6i8a5xIFUTA==" saltValue="HJs3VEvh4L5MNjxZurS86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154106870.91382769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1880103.8251486979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-2051223.7119271639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-1788868.2164566757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-2078356.1543376427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150068526.65625489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omk.'!C18*(1+'Fane 12. Nøgletal'!C13)^2</f>
        <v>109279338.43423691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5" t="s">
        <v>109</v>
      </c>
      <c r="C22" s="12">
        <f>SUM(C15,C17,C21)</f>
        <v>259347865.0904918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0PpVjd1Ny0FM1XWN9k+fmtBE0Q7vKFMS0mDE8VYgro9Emi2bSgf+Q8yJpxpWrWftIwGOoK0OMpPAuoNtA1Z0nA==" saltValue="B6nTC1W6T5eP/ua59E70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1.140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13</v>
      </c>
      <c r="C7" s="46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150068526.65625489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1830836.0252063097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-1997471.744549342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-1774478.5605234979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-2045860.0166864966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146081552.35970184</v>
      </c>
      <c r="D15" s="11" t="s">
        <v>3</v>
      </c>
      <c r="E15" s="1"/>
    </row>
    <row r="16" spans="1:5" x14ac:dyDescent="0.25">
      <c r="A16" s="1"/>
      <c r="B16" s="45" t="s">
        <v>12</v>
      </c>
      <c r="C16" s="46"/>
      <c r="D16" s="20"/>
      <c r="E16" s="1"/>
    </row>
    <row r="17" spans="1:5" ht="15" customHeight="1" x14ac:dyDescent="0.25">
      <c r="A17" s="1"/>
      <c r="B17" s="41" t="s">
        <v>12</v>
      </c>
      <c r="C17" s="10">
        <f>'Fane 6. Ikke-påvirkelige omk.'!C18*(1+'Fane 12. Nøgletal'!C13)^3</f>
        <v>110612546.36313461</v>
      </c>
      <c r="D17" s="11" t="s">
        <v>3</v>
      </c>
      <c r="E17" s="1"/>
    </row>
    <row r="18" spans="1:5" ht="15" customHeight="1" x14ac:dyDescent="0.25">
      <c r="A18" s="1"/>
      <c r="B18" s="45" t="s">
        <v>99</v>
      </c>
      <c r="C18" s="46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5" t="s">
        <v>249</v>
      </c>
      <c r="C22" s="12">
        <f>SUM(C15,C17,C21)</f>
        <v>256694098.72283643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7IaXk8d+1s2jncdbaMRpHNzI2bBOi1EUCvIbU9BTmlj+Y94wTBPnVlMEurHqUnsrhNsliB9b+Kjn5uszb5FQg==" saltValue="JzgXGCecc7M1AbQJBs7J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7109375" style="2" customWidth="1"/>
    <col min="5" max="5" width="10.570312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167</v>
      </c>
      <c r="C8" s="46"/>
      <c r="D8" s="46"/>
      <c r="E8" s="46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151805572.76806399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6024156.1281000003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1035364.6314000001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2704586.7387424312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-1030565.6039316943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-1869194.3580538386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-643716.15166427218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158026204.15265661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6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105499275.52718565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6"/>
      <c r="F23" s="46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143713.27107126001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139922.33642235081</v>
      </c>
      <c r="F26" s="11" t="s">
        <v>3</v>
      </c>
      <c r="G26" s="1"/>
    </row>
    <row r="27" spans="1:7" ht="14.25" customHeight="1" x14ac:dyDescent="0.25">
      <c r="A27" s="1"/>
      <c r="B27" s="45" t="s">
        <v>228</v>
      </c>
      <c r="C27" s="46"/>
      <c r="D27" s="46"/>
      <c r="E27" s="46"/>
      <c r="F27" s="46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25">
      <c r="A29" s="1"/>
      <c r="B29" s="45" t="s">
        <v>230</v>
      </c>
      <c r="C29" s="46"/>
      <c r="D29" s="46"/>
      <c r="E29" s="46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-3061400.6779785827</v>
      </c>
      <c r="F30" s="11" t="s">
        <v>3</v>
      </c>
      <c r="G30" s="1"/>
    </row>
    <row r="31" spans="1:7" x14ac:dyDescent="0.25">
      <c r="A31" s="1"/>
      <c r="B31" s="45" t="s">
        <v>232</v>
      </c>
      <c r="C31" s="46"/>
      <c r="D31" s="46"/>
      <c r="E31" s="46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134096.31580940075</v>
      </c>
      <c r="F32" s="11" t="s">
        <v>3</v>
      </c>
      <c r="G32" s="1"/>
    </row>
    <row r="33" spans="1:7" x14ac:dyDescent="0.25">
      <c r="A33" s="1"/>
      <c r="B33" s="45" t="s">
        <v>24</v>
      </c>
      <c r="C33" s="46"/>
      <c r="D33" s="46"/>
      <c r="E33" s="12">
        <f>SUM(E30,E26,E28,E22,E20,E32)</f>
        <v>260738097.65409544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UrlPjPE2uRc35dSy6MVN9f5bjD3Jxz8b0HGDadIOoOBS6Gt6RlENWByN4AeNlJcQ9VGmwMFTjmNjzAxzjBAczw==" saltValue="P+8hGeQGdU3SJ9iNuFBnRA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85467454.418774232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1709349.0883754846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84821833.268094808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1696436.6653618962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84530215.805319086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-995555.01990382432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4083456.1996477689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1752362.3397012607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87316885.898868367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6142832.0038235709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1869194.3580538386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92707927.931882679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-1808000.8469711998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1817998.5416982297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90168728.071440443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1803374.5614288088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89443410.822833776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1788868.2164566757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88723928.026174888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1774478.5605234979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67182599.401513278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611361.6545537709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67416692.466345891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613491.90144374769</v>
      </c>
      <c r="H12" s="14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67932174.654448986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1137877.5621923506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910366.57353398984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608829.64347452531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70543969.003280059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1055761.3146385802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643716.15166427218</v>
      </c>
      <c r="H25" s="14" t="s">
        <v>3</v>
      </c>
      <c r="I25" s="1"/>
    </row>
    <row r="26" spans="1:9" x14ac:dyDescent="0.2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71821677.539082676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6174872.2729119854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2144905.1198298531</v>
      </c>
      <c r="H31" s="14" t="s">
        <v>3</v>
      </c>
      <c r="I31" s="1"/>
    </row>
    <row r="32" spans="1:9" x14ac:dyDescent="0.2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76777034.757409215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2111368.4558287533</v>
      </c>
      <c r="H37" s="14" t="s">
        <v>3</v>
      </c>
      <c r="I37" s="1"/>
    </row>
    <row r="38" spans="1:9" x14ac:dyDescent="0.2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75576587.430459738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2078356.1543376427</v>
      </c>
      <c r="H43" s="14" t="s">
        <v>3</v>
      </c>
      <c r="I43" s="1"/>
    </row>
    <row r="44" spans="1:9" x14ac:dyDescent="0.2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74394909.697690785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2045860.0166864966</v>
      </c>
      <c r="H49" s="14" t="s">
        <v>3</v>
      </c>
      <c r="I49" s="1"/>
    </row>
    <row r="50" spans="1:9" x14ac:dyDescent="0.2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6.3784591405582382E-3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1.3149967908279624E-2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2020-10-21T06:52:57Z</dcterms:modified>
</cp:coreProperties>
</file>