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ulum Vandværk Amba (V01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<sst xmlns="http://schemas.openxmlformats.org/spreadsheetml/2006/main" count="322" uniqueCount="153">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</sst>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8.57031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148</v>
      </c>
      <c r="D21" s="80" t="s">
        <v>108</v>
      </c>
      <c r="E21" s="81"/>
      <c r="F21" s="81"/>
      <c r="G21" s="82"/>
      <c r="H21" s="1"/>
      <c r="I21" s="1"/>
    </row>
    <row r="22" spans="1:9" x14ac:dyDescent="0.25">
      <c r="A22" s="1"/>
      <c r="B22" s="1"/>
      <c r="C22" s="6" t="s">
        <v>120</v>
      </c>
      <c r="D22" s="80" t="s">
        <v>35</v>
      </c>
      <c r="E22" s="81"/>
      <c r="F22" s="81"/>
      <c r="G22" s="82"/>
      <c r="H22" s="1"/>
      <c r="I22" s="1"/>
    </row>
    <row r="23" spans="1:9" x14ac:dyDescent="0.25">
      <c r="A23" s="1"/>
      <c r="B23" s="1"/>
      <c r="C23" s="6" t="s">
        <v>121</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122</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9+hWRQRQCcmYqWIONfRsTCEbIlQ2ttk/k+S21DEmOxbmJ1D8KcW4cmwipoQnwQlnwfqeDbtBa1FMMPEsm/w2LQ==" saltValue="TpkyG6tEBox9HIsbMg06P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64" t="s">
        <v>134</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lb3G6WAGAmuSP9ZegDxS8dfAXdv+a99MnBuSnW0S5WNf5CyRY2fKOxnUFWLXIJFJvm/DjUwAIxmZIMvJMg4Vcg==" saltValue="5gCWVBAnxv/NiWqOAaxIb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0" t="s">
        <v>15</v>
      </c>
      <c r="C9" s="60" t="s">
        <v>10</v>
      </c>
      <c r="D9" s="61"/>
      <c r="E9" s="60" t="s">
        <v>24</v>
      </c>
      <c r="F9" s="73"/>
      <c r="G9" s="1"/>
    </row>
    <row r="10" spans="1:7" x14ac:dyDescent="0.25">
      <c r="A10" s="1"/>
      <c r="B10" s="20" t="s">
        <v>135</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1nYM3CNpMSvAxrcx6ZbZDz9WhVS0zWDWkDovcN0LAS9dXZRRuZ7TBzVBatxrreFHYvNyB+BYtbguvwLx11meA==" saltValue="kfF/EyP41gpN09Y7TF48S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0" t="s">
        <v>15</v>
      </c>
      <c r="C8" s="60" t="s">
        <v>10</v>
      </c>
      <c r="D8" s="61"/>
      <c r="E8" s="60" t="s">
        <v>24</v>
      </c>
      <c r="F8" s="73"/>
      <c r="G8" s="1"/>
    </row>
    <row r="9" spans="1:7" x14ac:dyDescent="0.25">
      <c r="A9" s="1"/>
      <c r="B9" s="20" t="s">
        <v>136</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iGjBbGL75ZUn5yF9srBJNOWUbHpiMmCQ14lefWerQmQPCbFMrZAluQz4bAfCYwN0NVsR3REDqrveb0icxpurg==" saltValue="JPGmme7Bzi1HcmDxppvXj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4Z/WtAH/WSOCHbnzxJUK8+g1L5GOATMgyveRr1Y0CFBJSSpk6u4V+OwxcOWbpLY+uGRSKTm4XC+r1Pk3rDUYtg==" saltValue="81V2hBEjZKhHsGq6dhXea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855468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138</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YS/VRzPTh5uiUYf+62kHNrJypSqpxU8yPHURNBimbvRYq4tVp7jUsyORExyCuC3Lell1g15UK1GrArrvIWZ7cA==" saltValue="7iIUBWe6Mcq46ArHgyPBA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T1MttfjVNWQDkobsveLGpeNVcvoVqU9exfaC52HZzOhJzIGG1QQdlNRSkE6vKgU4nXFTdKhNoKwRqVj14UrX5A==" saltValue="hAvhpDR7NeRiK7QGvzGd7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12</v>
      </c>
      <c r="C8" s="55"/>
      <c r="D8" s="55"/>
      <c r="E8" s="55"/>
      <c r="F8" s="55"/>
      <c r="G8" s="1"/>
    </row>
    <row r="9" spans="1:7" x14ac:dyDescent="0.25">
      <c r="A9" s="1"/>
      <c r="B9" s="63" t="s">
        <v>55</v>
      </c>
      <c r="C9" s="63"/>
      <c r="D9" s="63"/>
      <c r="E9" s="7">
        <f>'Fane 3. Omkostninger i ØR2022'!E16</f>
        <v>3348198.3193678982</v>
      </c>
      <c r="F9" s="63" t="s">
        <v>3</v>
      </c>
      <c r="G9" s="1"/>
    </row>
    <row r="10" spans="1:7" ht="17.25" customHeight="1" x14ac:dyDescent="0.25">
      <c r="A10" s="1"/>
      <c r="B10" s="24" t="s">
        <v>50</v>
      </c>
      <c r="C10" s="63"/>
      <c r="D10" s="63"/>
      <c r="E10" s="7">
        <f>'Fane 8.1. Varige tillæg'!C13+'Fane 8.1. Varige tillæg'!E13</f>
        <v>0</v>
      </c>
      <c r="F10" s="63" t="s">
        <v>3</v>
      </c>
      <c r="G10" s="1"/>
    </row>
    <row r="11" spans="1:7" ht="17.25" customHeight="1" x14ac:dyDescent="0.25">
      <c r="A11" s="1"/>
      <c r="B11" s="24" t="s">
        <v>52</v>
      </c>
      <c r="C11" s="63"/>
      <c r="D11" s="63"/>
      <c r="E11" s="8">
        <f>-('Fane 10. Bortfald'!C13+'Fane 10. Bortfald'!E13)</f>
        <v>0</v>
      </c>
      <c r="F11" s="63" t="s">
        <v>3</v>
      </c>
      <c r="G11" s="1"/>
    </row>
    <row r="12" spans="1:7" ht="17.25" customHeight="1" x14ac:dyDescent="0.25">
      <c r="A12" s="1"/>
      <c r="B12" s="24" t="s">
        <v>54</v>
      </c>
      <c r="C12" s="63"/>
      <c r="D12" s="63"/>
      <c r="E12" s="8">
        <f>'Fane 9. Tilknyttet virksomhed'!C12+'Fane 9. Tilknyttet virksomhed'!E12</f>
        <v>0</v>
      </c>
      <c r="F12" s="63" t="s">
        <v>3</v>
      </c>
      <c r="G12" s="1"/>
    </row>
    <row r="13" spans="1:7" ht="17.25" customHeight="1" x14ac:dyDescent="0.25">
      <c r="A13" s="1"/>
      <c r="B13" s="24" t="s">
        <v>17</v>
      </c>
      <c r="C13" s="63"/>
      <c r="D13" s="63"/>
      <c r="E13" s="8">
        <f>SUM(E9:E12)*'Fane 11. Nøgletal'!C15</f>
        <v>119195.86016949717</v>
      </c>
      <c r="F13" s="63" t="s">
        <v>3</v>
      </c>
      <c r="G13" s="1"/>
    </row>
    <row r="14" spans="1:7" ht="17.25" customHeight="1" x14ac:dyDescent="0.25">
      <c r="A14" s="1"/>
      <c r="B14" s="24" t="s">
        <v>44</v>
      </c>
      <c r="C14" s="63"/>
      <c r="D14" s="63"/>
      <c r="E14" s="8">
        <f>-SUM(E9,E10:E13)*'Fane 11. Nøgletal'!C20</f>
        <v>-58945.70105213573</v>
      </c>
      <c r="F14" s="63" t="s">
        <v>3</v>
      </c>
      <c r="G14" s="1"/>
    </row>
    <row r="15" spans="1:7" ht="15" customHeight="1" x14ac:dyDescent="0.25">
      <c r="A15" s="1"/>
      <c r="B15" s="68" t="s">
        <v>19</v>
      </c>
      <c r="C15" s="29"/>
      <c r="D15" s="29"/>
      <c r="E15" s="9">
        <f>SUM(E9,E10:E14)</f>
        <v>3408448.4784852597</v>
      </c>
      <c r="F15" s="56" t="s">
        <v>3</v>
      </c>
      <c r="G15" s="1"/>
    </row>
    <row r="16" spans="1:7" ht="15" customHeight="1" x14ac:dyDescent="0.25">
      <c r="A16" s="1"/>
      <c r="B16" s="55" t="s">
        <v>11</v>
      </c>
      <c r="C16" s="55"/>
      <c r="D16" s="55"/>
      <c r="E16" s="55"/>
      <c r="F16" s="55"/>
      <c r="G16" s="1"/>
    </row>
    <row r="17" spans="1:7" ht="15" customHeight="1" x14ac:dyDescent="0.25">
      <c r="A17" s="1"/>
      <c r="B17" s="56" t="s">
        <v>11</v>
      </c>
      <c r="C17" s="56"/>
      <c r="D17" s="56"/>
      <c r="E17" s="9">
        <f>'Fane 4. Ikke-påvirkelige omk.'!C14</f>
        <v>2009896.0648329603</v>
      </c>
      <c r="F17" s="56" t="s">
        <v>3</v>
      </c>
      <c r="G17" s="1"/>
    </row>
    <row r="18" spans="1:7" ht="15" customHeight="1" x14ac:dyDescent="0.25">
      <c r="A18" s="1"/>
      <c r="B18" s="55" t="s">
        <v>36</v>
      </c>
      <c r="C18" s="55"/>
      <c r="D18" s="55"/>
      <c r="E18" s="55"/>
      <c r="F18" s="55"/>
      <c r="G18" s="1"/>
    </row>
    <row r="19" spans="1:7" ht="15" customHeight="1" x14ac:dyDescent="0.25">
      <c r="A19" s="1"/>
      <c r="B19" s="24" t="s">
        <v>33</v>
      </c>
      <c r="C19" s="63"/>
      <c r="D19" s="63"/>
      <c r="E19" s="8">
        <f>'Fane 8.2. Engangstillæg'!C11</f>
        <v>0</v>
      </c>
      <c r="F19" s="63" t="s">
        <v>3</v>
      </c>
      <c r="G19" s="1"/>
    </row>
    <row r="20" spans="1:7" x14ac:dyDescent="0.25">
      <c r="A20" s="1"/>
      <c r="B20" s="24" t="s">
        <v>34</v>
      </c>
      <c r="C20" s="63"/>
      <c r="D20" s="63"/>
      <c r="E20" s="8">
        <f>'Fane 8.2. Engangstillæg'!E11</f>
        <v>0</v>
      </c>
      <c r="F20" s="63" t="s">
        <v>3</v>
      </c>
      <c r="G20" s="1"/>
    </row>
    <row r="21" spans="1:7" x14ac:dyDescent="0.25">
      <c r="A21" s="1"/>
      <c r="B21" s="24" t="s">
        <v>106</v>
      </c>
      <c r="C21" s="63"/>
      <c r="D21" s="63"/>
      <c r="E21" s="8">
        <f>-SUM(E19:E20)*'Fane 11. Nøgletal'!C20</f>
        <v>0</v>
      </c>
      <c r="F21" s="63" t="s">
        <v>3</v>
      </c>
      <c r="G21" s="1"/>
    </row>
    <row r="22" spans="1:7" ht="15" customHeight="1" x14ac:dyDescent="0.25">
      <c r="A22" s="1"/>
      <c r="B22" s="68" t="s">
        <v>37</v>
      </c>
      <c r="C22" s="29"/>
      <c r="D22" s="29"/>
      <c r="E22" s="9">
        <f>SUM(E19:E21)</f>
        <v>0</v>
      </c>
      <c r="F22" s="56" t="s">
        <v>3</v>
      </c>
      <c r="G22" s="1"/>
    </row>
    <row r="23" spans="1:7" x14ac:dyDescent="0.25">
      <c r="A23" s="1"/>
      <c r="B23" s="55" t="s">
        <v>62</v>
      </c>
      <c r="C23" s="55"/>
      <c r="D23" s="55"/>
      <c r="E23" s="55"/>
      <c r="F23" s="55"/>
      <c r="G23" s="1"/>
    </row>
    <row r="24" spans="1:7" x14ac:dyDescent="0.25">
      <c r="A24" s="1"/>
      <c r="B24" s="68" t="s">
        <v>63</v>
      </c>
      <c r="C24" s="32"/>
      <c r="D24" s="32"/>
      <c r="E24" s="9">
        <f>'Fane 5. Kontrol af ØR2021'!E30</f>
        <v>0</v>
      </c>
      <c r="F24" s="56" t="s">
        <v>3</v>
      </c>
      <c r="G24" s="1"/>
    </row>
    <row r="25" spans="1:7" x14ac:dyDescent="0.25">
      <c r="A25" s="1"/>
      <c r="B25" s="55" t="s">
        <v>75</v>
      </c>
      <c r="C25" s="55"/>
      <c r="D25" s="55"/>
      <c r="E25" s="55"/>
      <c r="F25" s="55"/>
      <c r="G25" s="1"/>
    </row>
    <row r="26" spans="1:7" x14ac:dyDescent="0.25">
      <c r="A26" s="1"/>
      <c r="B26" s="56" t="s">
        <v>76</v>
      </c>
      <c r="C26" s="56"/>
      <c r="D26" s="56"/>
      <c r="E26" s="9">
        <f>'Fane 6. Skattesagen'!G12</f>
        <v>0</v>
      </c>
      <c r="F26" s="56" t="s">
        <v>3</v>
      </c>
      <c r="G26" s="1"/>
    </row>
    <row r="27" spans="1:7" x14ac:dyDescent="0.25">
      <c r="A27" s="1"/>
      <c r="B27" s="55" t="s">
        <v>39</v>
      </c>
      <c r="C27" s="55"/>
      <c r="D27" s="55"/>
      <c r="E27" s="10">
        <f>SUM(E15:E17:E22:E24:E26)</f>
        <v>5418344.5433182195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5krpY/BbjwVe+U4hS+GIv61dGHqW2bmGKAUadYpDBA/idx41kc3QIXcCp5NEq1EFW7mcNXN4+iNWKKe77GxL8g==" saltValue="jE0VkW+FRu0SzwtL6dwax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56</v>
      </c>
      <c r="C8" s="63"/>
      <c r="D8" s="63"/>
      <c r="E8" s="7">
        <f>'Fane 2.1. Økonomisk ramme 2023'!E15</f>
        <v>3408448.4784852597</v>
      </c>
      <c r="F8" s="63" t="s">
        <v>3</v>
      </c>
      <c r="G8" s="1"/>
    </row>
    <row r="9" spans="1:7" ht="15" customHeight="1" x14ac:dyDescent="0.25">
      <c r="A9" s="1"/>
      <c r="B9" s="54" t="s">
        <v>17</v>
      </c>
      <c r="C9" s="63"/>
      <c r="D9" s="63"/>
      <c r="E9" s="8">
        <f>SUM(E8:E8)*'Fane 11. Nøgletal'!C15</f>
        <v>121340.76583407524</v>
      </c>
      <c r="F9" s="63" t="s">
        <v>3</v>
      </c>
      <c r="G9" s="1"/>
    </row>
    <row r="10" spans="1:7" ht="15" customHeight="1" x14ac:dyDescent="0.25">
      <c r="A10" s="1"/>
      <c r="B10" s="54" t="s">
        <v>44</v>
      </c>
      <c r="C10" s="63"/>
      <c r="D10" s="63"/>
      <c r="E10" s="8">
        <f>-SUM(E8:E9)*'Fane 11. Nøgletal'!C20</f>
        <v>-60006.417153428702</v>
      </c>
      <c r="F10" s="63" t="s">
        <v>3</v>
      </c>
      <c r="G10" s="1"/>
    </row>
    <row r="11" spans="1:7" ht="15" customHeight="1" x14ac:dyDescent="0.25">
      <c r="A11" s="1"/>
      <c r="B11" s="29" t="s">
        <v>19</v>
      </c>
      <c r="C11" s="29"/>
      <c r="D11" s="29"/>
      <c r="E11" s="9">
        <f>SUM(E8:E10)</f>
        <v>3469782.8271659063</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f>
        <v>2081448.3647410139</v>
      </c>
      <c r="F13" s="56" t="s">
        <v>3</v>
      </c>
      <c r="G13" s="1"/>
    </row>
    <row r="14" spans="1:7" x14ac:dyDescent="0.25">
      <c r="A14" s="1"/>
      <c r="B14" s="55" t="s">
        <v>62</v>
      </c>
      <c r="C14" s="55"/>
      <c r="D14" s="55"/>
      <c r="E14" s="55"/>
      <c r="F14" s="55"/>
      <c r="G14" s="1"/>
    </row>
    <row r="15" spans="1:7" x14ac:dyDescent="0.25">
      <c r="A15" s="1"/>
      <c r="B15" s="56" t="s">
        <v>77</v>
      </c>
      <c r="C15" s="33"/>
      <c r="D15" s="33"/>
      <c r="E15" s="9">
        <f>'Fane 5. Kontrol af ØR2021'!E30</f>
        <v>0</v>
      </c>
      <c r="F15" s="56" t="s">
        <v>3</v>
      </c>
      <c r="G15" s="1"/>
    </row>
    <row r="16" spans="1:7" x14ac:dyDescent="0.25">
      <c r="A16" s="1"/>
      <c r="B16" s="55" t="s">
        <v>75</v>
      </c>
      <c r="C16" s="55"/>
      <c r="D16" s="55"/>
      <c r="E16" s="55"/>
      <c r="F16" s="55"/>
      <c r="G16" s="1"/>
    </row>
    <row r="17" spans="1:7" x14ac:dyDescent="0.25">
      <c r="A17" s="1"/>
      <c r="B17" s="56" t="s">
        <v>76</v>
      </c>
      <c r="C17" s="56"/>
      <c r="D17" s="56"/>
      <c r="E17" s="9">
        <f>'Fane 6. Skattesagen'!G13</f>
        <v>0</v>
      </c>
      <c r="F17" s="56" t="s">
        <v>3</v>
      </c>
      <c r="G17" s="1"/>
    </row>
    <row r="18" spans="1:7" x14ac:dyDescent="0.25">
      <c r="A18" s="1"/>
      <c r="B18" s="55" t="s">
        <v>57</v>
      </c>
      <c r="C18" s="55"/>
      <c r="D18" s="55"/>
      <c r="E18" s="10">
        <f>SUM(E11,E13,E15,E17)</f>
        <v>5551231.1919069197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c9f5yvhEyndjKPFzGS/B9DbHaTz+fAdWhV6ckWdxLrcZIl3/PWxjIQKvSlSJkHsC2wFLQ+rE3DafQJyqok1prg==" saltValue="tRfVP8RRZJyr1/hLkFx4Y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65</v>
      </c>
      <c r="C8" s="63"/>
      <c r="D8" s="63"/>
      <c r="E8" s="7">
        <f>'Fane 2.2. Økonomisk ramme 2024'!E11</f>
        <v>3469782.8271659063</v>
      </c>
      <c r="F8" s="63" t="s">
        <v>3</v>
      </c>
      <c r="G8" s="1"/>
    </row>
    <row r="9" spans="1:7" ht="15" customHeight="1" x14ac:dyDescent="0.25">
      <c r="A9" s="1"/>
      <c r="B9" s="54" t="s">
        <v>17</v>
      </c>
      <c r="C9" s="63"/>
      <c r="D9" s="63"/>
      <c r="E9" s="8">
        <f>SUM(E8:E8)*'Fane 11. Nøgletal'!C15</f>
        <v>123524.26864710626</v>
      </c>
      <c r="F9" s="63" t="s">
        <v>3</v>
      </c>
      <c r="G9" s="1"/>
    </row>
    <row r="10" spans="1:7" ht="15" customHeight="1" x14ac:dyDescent="0.25">
      <c r="A10" s="1"/>
      <c r="B10" s="54" t="s">
        <v>44</v>
      </c>
      <c r="C10" s="63"/>
      <c r="D10" s="63"/>
      <c r="E10" s="8">
        <f>-SUM(E8:E9)*'Fane 11. Nøgletal'!C20</f>
        <v>-61086.220628821218</v>
      </c>
      <c r="F10" s="63" t="s">
        <v>3</v>
      </c>
      <c r="G10" s="1"/>
    </row>
    <row r="11" spans="1:7" x14ac:dyDescent="0.25">
      <c r="A11" s="1"/>
      <c r="B11" s="29" t="s">
        <v>19</v>
      </c>
      <c r="C11" s="29"/>
      <c r="D11" s="29"/>
      <c r="E11" s="9">
        <f>SUM(E8:E10)</f>
        <v>3532220.8751841914</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Nøgletal'!C15)^2</f>
        <v>2155547.926525794</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Skattesagen'!G14</f>
        <v>0</v>
      </c>
      <c r="F17" s="56" t="s">
        <v>3</v>
      </c>
      <c r="G17" s="1"/>
    </row>
    <row r="18" spans="1:7" x14ac:dyDescent="0.25">
      <c r="A18" s="1"/>
      <c r="B18" s="55" t="s">
        <v>66</v>
      </c>
      <c r="C18" s="55"/>
      <c r="D18" s="55"/>
      <c r="E18" s="10">
        <f>SUM(E11,E13,E15,E17)</f>
        <v>5687768.8017099854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2t0fJwCrdYuwvt1pNhFHLegL2jyXgWjKQZFuOV+s9qjSpSiQEDtv1w5iJIWpPGh4KtP+4UhVDL/Nzrbn4Zox/Q==" saltValue="fjOxGx3jenXbIXomTVumA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86</v>
      </c>
      <c r="C8" s="63"/>
      <c r="D8" s="63"/>
      <c r="E8" s="7">
        <f>'Fane 2.3. Økonomisk ramme 2025'!E11</f>
        <v>3532220.8751841914</v>
      </c>
      <c r="F8" s="63" t="s">
        <v>3</v>
      </c>
      <c r="G8" s="1"/>
    </row>
    <row r="9" spans="1:7" ht="15" customHeight="1" x14ac:dyDescent="0.25">
      <c r="A9" s="1"/>
      <c r="B9" s="54" t="s">
        <v>17</v>
      </c>
      <c r="C9" s="63"/>
      <c r="D9" s="63"/>
      <c r="E9" s="8">
        <f>SUM(E8:E8)*'Fane 11. Nøgletal'!C15</f>
        <v>125747.06315655721</v>
      </c>
      <c r="F9" s="63" t="s">
        <v>3</v>
      </c>
      <c r="G9" s="1"/>
    </row>
    <row r="10" spans="1:7" ht="15" customHeight="1" x14ac:dyDescent="0.25">
      <c r="A10" s="1"/>
      <c r="B10" s="54" t="s">
        <v>44</v>
      </c>
      <c r="C10" s="63"/>
      <c r="D10" s="63"/>
      <c r="E10" s="8">
        <f>-SUM(E8:E9)*'Fane 11. Nøgletal'!C20</f>
        <v>-62185.45495179273</v>
      </c>
      <c r="F10" s="63" t="s">
        <v>3</v>
      </c>
      <c r="G10" s="1"/>
    </row>
    <row r="11" spans="1:7" x14ac:dyDescent="0.25">
      <c r="A11" s="1"/>
      <c r="B11" s="29" t="s">
        <v>19</v>
      </c>
      <c r="C11" s="29"/>
      <c r="D11" s="29"/>
      <c r="E11" s="9">
        <f>SUM(E8:E10)</f>
        <v>3595782.4833889557</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Nøgletal'!C15)^3</f>
        <v>2232285.4327101125</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Skattesagen'!G15</f>
        <v>0</v>
      </c>
      <c r="F17" s="56" t="s">
        <v>3</v>
      </c>
      <c r="G17" s="1"/>
    </row>
    <row r="18" spans="1:7" x14ac:dyDescent="0.25">
      <c r="A18" s="1"/>
      <c r="B18" s="55" t="s">
        <v>87</v>
      </c>
      <c r="C18" s="55"/>
      <c r="D18" s="55"/>
      <c r="E18" s="10">
        <f>SUM(E11,E13,E15,E17)</f>
        <v>5828067.9160990678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qIkVJGlBEGweSHbfrkPAN3wwQr6h1uuybpIuBSC6+xzhNWwoQs9Ca5T8gXuKQIqB+nxHw2xiGf5EYexfMUOJvA==" saltValue="R0BlDtqfVXMvrp87V0rLc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5"/>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89</v>
      </c>
      <c r="C8" s="55"/>
      <c r="D8" s="55"/>
      <c r="E8" s="55"/>
      <c r="F8" s="55"/>
      <c r="G8" s="1"/>
    </row>
    <row r="9" spans="1:7" x14ac:dyDescent="0.25">
      <c r="A9" s="1"/>
      <c r="B9" s="108" t="s">
        <v>22</v>
      </c>
      <c r="C9" s="108"/>
      <c r="D9" s="108"/>
      <c r="E9" s="7">
        <v>3365048.463041733</v>
      </c>
      <c r="F9" s="63" t="s">
        <v>3</v>
      </c>
      <c r="G9" s="1"/>
    </row>
    <row r="10" spans="1:7" x14ac:dyDescent="0.25">
      <c r="A10" s="1"/>
      <c r="B10" s="109" t="s">
        <v>103</v>
      </c>
      <c r="C10" s="110"/>
      <c r="D10" s="111"/>
      <c r="E10" s="7">
        <v>0</v>
      </c>
      <c r="F10" s="63" t="s">
        <v>3</v>
      </c>
      <c r="G10" s="1"/>
    </row>
    <row r="11" spans="1:7" x14ac:dyDescent="0.25">
      <c r="A11" s="1"/>
      <c r="B11" s="94" t="s">
        <v>50</v>
      </c>
      <c r="C11" s="94"/>
      <c r="D11" s="94"/>
      <c r="E11" s="7">
        <v>0</v>
      </c>
      <c r="F11" s="63" t="s">
        <v>3</v>
      </c>
      <c r="G11" s="1"/>
    </row>
    <row r="12" spans="1:7" x14ac:dyDescent="0.25">
      <c r="A12" s="1"/>
      <c r="B12" s="94" t="s">
        <v>54</v>
      </c>
      <c r="C12" s="94"/>
      <c r="D12" s="94"/>
      <c r="E12" s="7">
        <v>0</v>
      </c>
      <c r="F12" s="63" t="s">
        <v>3</v>
      </c>
      <c r="G12" s="1"/>
    </row>
    <row r="13" spans="1:7" x14ac:dyDescent="0.25">
      <c r="A13" s="1"/>
      <c r="B13" s="94" t="s">
        <v>51</v>
      </c>
      <c r="C13" s="94"/>
      <c r="D13" s="94"/>
      <c r="E13" s="8">
        <v>0</v>
      </c>
      <c r="F13" s="63" t="s">
        <v>3</v>
      </c>
      <c r="G13" s="1"/>
    </row>
    <row r="14" spans="1:7" x14ac:dyDescent="0.25">
      <c r="A14" s="1"/>
      <c r="B14" s="94" t="s">
        <v>17</v>
      </c>
      <c r="C14" s="94"/>
      <c r="D14" s="94"/>
      <c r="E14" s="8">
        <f>E9*'Fane 11. Nøgletal'!C13+SUM(E11:E13)*'Fane 11. Nøgletal'!C14</f>
        <v>41053.591249109144</v>
      </c>
      <c r="F14" s="63" t="s">
        <v>3</v>
      </c>
      <c r="G14" s="1"/>
    </row>
    <row r="15" spans="1:7" x14ac:dyDescent="0.25">
      <c r="A15" s="1"/>
      <c r="B15" s="94" t="s">
        <v>44</v>
      </c>
      <c r="C15" s="94"/>
      <c r="D15" s="94"/>
      <c r="E15" s="8">
        <f>-SUM(E9:E14)*'Fane 11. Nøgletal'!C20</f>
        <v>-57903.734922944321</v>
      </c>
      <c r="F15" s="63" t="s">
        <v>3</v>
      </c>
      <c r="G15" s="1"/>
    </row>
    <row r="16" spans="1:7" x14ac:dyDescent="0.25">
      <c r="A16" s="1"/>
      <c r="B16" s="95" t="s">
        <v>19</v>
      </c>
      <c r="C16" s="95"/>
      <c r="D16" s="95"/>
      <c r="E16" s="34">
        <f>SUM(E9:E15)</f>
        <v>3348198.3193678982</v>
      </c>
      <c r="F16" s="35" t="s">
        <v>3</v>
      </c>
      <c r="G16" s="1"/>
    </row>
    <row r="17" spans="1:7" x14ac:dyDescent="0.25">
      <c r="A17" s="1"/>
      <c r="B17" s="96" t="s">
        <v>11</v>
      </c>
      <c r="C17" s="96"/>
      <c r="D17" s="96"/>
      <c r="E17" s="55"/>
      <c r="F17" s="55"/>
      <c r="G17" s="1"/>
    </row>
    <row r="18" spans="1:7" x14ac:dyDescent="0.25">
      <c r="A18" s="1"/>
      <c r="B18" s="97" t="s">
        <v>11</v>
      </c>
      <c r="C18" s="97"/>
      <c r="D18" s="97"/>
      <c r="E18" s="9">
        <v>1958238.6799664204</v>
      </c>
      <c r="F18" s="56" t="s">
        <v>3</v>
      </c>
      <c r="G18" s="1"/>
    </row>
    <row r="19" spans="1:7" ht="15.4" customHeight="1" x14ac:dyDescent="0.25">
      <c r="A19" s="1"/>
      <c r="B19" s="55" t="s">
        <v>36</v>
      </c>
      <c r="C19" s="55"/>
      <c r="D19" s="55"/>
      <c r="E19" s="55"/>
      <c r="F19" s="55"/>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5" t="s">
        <v>62</v>
      </c>
      <c r="C23" s="55"/>
      <c r="D23" s="55"/>
      <c r="E23" s="55"/>
      <c r="F23" s="55"/>
      <c r="G23" s="1"/>
    </row>
    <row r="24" spans="1:7" x14ac:dyDescent="0.25">
      <c r="A24" s="1"/>
      <c r="B24" s="68" t="s">
        <v>27</v>
      </c>
      <c r="C24" s="29"/>
      <c r="D24" s="29"/>
      <c r="E24" s="9">
        <v>537284.23021286377</v>
      </c>
      <c r="F24" s="56" t="s">
        <v>3</v>
      </c>
      <c r="G24" s="1"/>
    </row>
    <row r="25" spans="1:7" x14ac:dyDescent="0.25">
      <c r="A25" s="1"/>
      <c r="B25" s="68" t="s">
        <v>63</v>
      </c>
      <c r="C25" s="29"/>
      <c r="D25" s="29"/>
      <c r="E25" s="9">
        <v>0</v>
      </c>
      <c r="F25" s="56" t="s">
        <v>3</v>
      </c>
      <c r="G25" s="1"/>
    </row>
    <row r="26" spans="1:7" x14ac:dyDescent="0.25">
      <c r="A26" s="1"/>
      <c r="B26" s="55" t="s">
        <v>75</v>
      </c>
      <c r="C26" s="55"/>
      <c r="D26" s="55"/>
      <c r="E26" s="55"/>
      <c r="F26" s="55"/>
      <c r="G26" s="1"/>
    </row>
    <row r="27" spans="1:7" x14ac:dyDescent="0.25">
      <c r="A27" s="1"/>
      <c r="B27" s="104" t="s">
        <v>76</v>
      </c>
      <c r="C27" s="105"/>
      <c r="D27" s="106"/>
      <c r="E27" s="9">
        <f>'Fane 6. Skattesagen'!G11</f>
        <v>0</v>
      </c>
      <c r="F27" s="56" t="s">
        <v>3</v>
      </c>
      <c r="G27" s="1"/>
    </row>
    <row r="28" spans="1:7" ht="15" customHeight="1" x14ac:dyDescent="0.25">
      <c r="A28" s="1"/>
      <c r="B28" s="36" t="s">
        <v>147</v>
      </c>
      <c r="C28" s="36"/>
      <c r="D28" s="36"/>
      <c r="E28" s="37">
        <f>E16+E18+E22+E24+E25+E27</f>
        <v>5843721.2295471821</v>
      </c>
      <c r="F28" s="38"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nXW5xKBtD9VNPp/laNkG+RR0G6YKuqfWDJBE4qcKNAAIVDexNMtA080fvDK+/p8SFo+fD2eZtvlLdtolmiBig==" saltValue="z/wgPUM8z4otBzLpNtfZF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6" t="s">
        <v>109</v>
      </c>
      <c r="D9" s="56"/>
      <c r="E9" s="1"/>
      <c r="F9" s="1"/>
    </row>
    <row r="10" spans="1:6" x14ac:dyDescent="0.25">
      <c r="A10" s="1"/>
      <c r="B10" s="23" t="s">
        <v>127</v>
      </c>
      <c r="C10" s="8">
        <v>1863380</v>
      </c>
      <c r="D10" s="12" t="s">
        <v>3</v>
      </c>
      <c r="E10" s="1"/>
      <c r="F10" s="1"/>
    </row>
    <row r="11" spans="1:6" x14ac:dyDescent="0.25">
      <c r="A11" s="1"/>
      <c r="B11" s="23" t="s">
        <v>128</v>
      </c>
      <c r="C11" s="8">
        <v>8625</v>
      </c>
      <c r="D11" s="12" t="s">
        <v>3</v>
      </c>
      <c r="E11" s="1"/>
      <c r="F11" s="1"/>
    </row>
    <row r="12" spans="1:6" x14ac:dyDescent="0.25">
      <c r="A12" s="1"/>
      <c r="B12" s="23" t="s">
        <v>129</v>
      </c>
      <c r="C12" s="8">
        <v>2081</v>
      </c>
      <c r="D12" s="12" t="s">
        <v>3</v>
      </c>
      <c r="E12" s="1"/>
      <c r="F12" s="1"/>
    </row>
    <row r="13" spans="1:6" x14ac:dyDescent="0.25">
      <c r="A13" s="1"/>
      <c r="B13" s="74" t="s">
        <v>92</v>
      </c>
      <c r="C13" s="10">
        <f>SUM(C10:C12)</f>
        <v>1874086</v>
      </c>
      <c r="D13" s="11" t="s">
        <v>3</v>
      </c>
      <c r="E13" s="1"/>
      <c r="F13" s="1"/>
    </row>
    <row r="14" spans="1:6" x14ac:dyDescent="0.25">
      <c r="A14" s="1"/>
      <c r="B14" s="74" t="s">
        <v>93</v>
      </c>
      <c r="C14" s="10">
        <f>C13*(1+'Fane 11. Nøgletal'!C15)^2</f>
        <v>2009896.0648329603</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0RULUBcmV9s0j0QGvSydwzuWpl78ZtuzLhIR8VbRzvNeVY17doKOuQ1MwasVDiWBoxnYDHAJXh/LgySWXtUwqQ==" saltValue="8ct026k8TGenBWKO3YSZZ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149</v>
      </c>
      <c r="C3" s="107"/>
      <c r="D3" s="107"/>
      <c r="E3" s="107"/>
      <c r="F3" s="107"/>
      <c r="G3" s="1"/>
    </row>
    <row r="4" spans="1:7" ht="15" customHeight="1" x14ac:dyDescent="0.25">
      <c r="A4" s="1"/>
      <c r="B4" s="107"/>
      <c r="C4" s="107"/>
      <c r="D4" s="107"/>
      <c r="E4" s="107"/>
      <c r="F4" s="107"/>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778248.90011470299</v>
      </c>
      <c r="F9" s="12" t="s">
        <v>3</v>
      </c>
      <c r="G9" s="1"/>
    </row>
    <row r="10" spans="1:7" x14ac:dyDescent="0.25">
      <c r="A10" s="1"/>
      <c r="B10" s="119" t="s">
        <v>130</v>
      </c>
      <c r="C10" s="120"/>
      <c r="D10" s="121"/>
      <c r="E10" s="8">
        <v>778248.90011470299</v>
      </c>
      <c r="F10" s="12" t="s">
        <v>3</v>
      </c>
      <c r="G10" s="1"/>
    </row>
    <row r="11" spans="1:7" x14ac:dyDescent="0.25">
      <c r="A11" s="1"/>
      <c r="B11" s="74"/>
      <c r="C11" s="22"/>
      <c r="D11" s="22"/>
      <c r="E11" s="22"/>
      <c r="F11" s="75"/>
      <c r="G11" s="1"/>
    </row>
    <row r="12" spans="1:7" ht="68.25" customHeight="1" x14ac:dyDescent="0.25">
      <c r="A12" s="1"/>
      <c r="B12" s="125" t="s">
        <v>150</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131</v>
      </c>
      <c r="C16" s="120"/>
      <c r="D16" s="121"/>
      <c r="E16" s="8">
        <v>0</v>
      </c>
      <c r="F16" s="12" t="s">
        <v>3</v>
      </c>
      <c r="G16" s="1"/>
    </row>
    <row r="17" spans="1:7" x14ac:dyDescent="0.25">
      <c r="A17" s="1"/>
      <c r="B17" s="74"/>
      <c r="C17" s="22"/>
      <c r="D17" s="22"/>
      <c r="E17" s="22"/>
      <c r="F17" s="75"/>
      <c r="G17" s="1"/>
    </row>
    <row r="18" spans="1:7" ht="31.5" customHeight="1" x14ac:dyDescent="0.25">
      <c r="A18" s="1"/>
      <c r="B18" s="125" t="s">
        <v>151</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5833201.5353139564</v>
      </c>
      <c r="F21" s="12" t="s">
        <v>3</v>
      </c>
      <c r="G21" s="1"/>
    </row>
    <row r="22" spans="1:7" x14ac:dyDescent="0.25">
      <c r="A22" s="1"/>
      <c r="B22" s="69" t="s">
        <v>132</v>
      </c>
      <c r="C22" s="70"/>
      <c r="D22" s="71"/>
      <c r="E22" s="8">
        <v>4311401</v>
      </c>
      <c r="F22" s="12" t="s">
        <v>3</v>
      </c>
      <c r="G22" s="1"/>
    </row>
    <row r="23" spans="1:7" x14ac:dyDescent="0.25">
      <c r="A23" s="1"/>
      <c r="B23" s="69" t="s">
        <v>26</v>
      </c>
      <c r="C23" s="70"/>
      <c r="D23" s="71"/>
      <c r="E23" s="8">
        <v>0</v>
      </c>
      <c r="F23" s="12" t="s">
        <v>3</v>
      </c>
      <c r="G23" s="1"/>
    </row>
    <row r="24" spans="1:7" x14ac:dyDescent="0.25">
      <c r="A24" s="1"/>
      <c r="B24" s="57" t="s">
        <v>152</v>
      </c>
      <c r="C24" s="58"/>
      <c r="D24" s="59"/>
      <c r="E24" s="52">
        <f>E21-(E22-E23)</f>
        <v>1521800.5353139564</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133</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0</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ehVc0OHh65Dr0y1qIGdzX8VAndTkA4mkMSNq7u4ZJn9rnu4WO6f1ZxmO9tvjthAcBhTXXhGKxHxW0zQlGklO+Q==" saltValue="DYulOnvW+10a8i2i/8sgc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4" t="s">
        <v>124</v>
      </c>
      <c r="C9" s="105"/>
      <c r="D9" s="105"/>
      <c r="E9" s="105"/>
      <c r="F9" s="105"/>
      <c r="G9" s="105"/>
      <c r="H9" s="106"/>
      <c r="I9" s="1"/>
    </row>
    <row r="10" spans="1:9" x14ac:dyDescent="0.25">
      <c r="A10" s="1"/>
      <c r="B10" s="109" t="s">
        <v>139</v>
      </c>
      <c r="C10" s="110"/>
      <c r="D10" s="110"/>
      <c r="E10" s="110"/>
      <c r="F10" s="111"/>
      <c r="G10" s="53">
        <v>0</v>
      </c>
      <c r="H10" s="8" t="s">
        <v>3</v>
      </c>
      <c r="I10" s="1"/>
    </row>
    <row r="11" spans="1:9" x14ac:dyDescent="0.25">
      <c r="A11" s="1"/>
      <c r="B11" s="109" t="s">
        <v>140</v>
      </c>
      <c r="C11" s="110"/>
      <c r="D11" s="110"/>
      <c r="E11" s="110"/>
      <c r="F11" s="111"/>
      <c r="G11" s="53">
        <v>0</v>
      </c>
      <c r="H11" s="8" t="s">
        <v>3</v>
      </c>
      <c r="I11" s="1"/>
    </row>
    <row r="12" spans="1:9" x14ac:dyDescent="0.25">
      <c r="A12" s="1"/>
      <c r="B12" s="109" t="s">
        <v>141</v>
      </c>
      <c r="C12" s="110"/>
      <c r="D12" s="110"/>
      <c r="E12" s="110"/>
      <c r="F12" s="111"/>
      <c r="G12" s="8">
        <v>0</v>
      </c>
      <c r="H12" s="8" t="s">
        <v>3</v>
      </c>
      <c r="I12" s="1"/>
    </row>
    <row r="13" spans="1:9" x14ac:dyDescent="0.25">
      <c r="A13" s="1"/>
      <c r="B13" s="109" t="s">
        <v>142</v>
      </c>
      <c r="C13" s="110"/>
      <c r="D13" s="110"/>
      <c r="E13" s="110"/>
      <c r="F13" s="111"/>
      <c r="G13" s="8">
        <v>0</v>
      </c>
      <c r="H13" s="8" t="s">
        <v>3</v>
      </c>
      <c r="I13" s="1"/>
    </row>
    <row r="14" spans="1:9" x14ac:dyDescent="0.25">
      <c r="A14" s="1"/>
      <c r="B14" s="109" t="s">
        <v>143</v>
      </c>
      <c r="C14" s="110"/>
      <c r="D14" s="110"/>
      <c r="E14" s="110"/>
      <c r="F14" s="111"/>
      <c r="G14" s="8">
        <v>0</v>
      </c>
      <c r="H14" s="8" t="s">
        <v>3</v>
      </c>
      <c r="I14" s="1"/>
    </row>
    <row r="15" spans="1:9" x14ac:dyDescent="0.25">
      <c r="A15" s="1"/>
      <c r="B15" s="109" t="s">
        <v>144</v>
      </c>
      <c r="C15" s="110"/>
      <c r="D15" s="110"/>
      <c r="E15" s="110"/>
      <c r="F15" s="111"/>
      <c r="G15" s="8">
        <v>0</v>
      </c>
      <c r="H15" s="8" t="s">
        <v>3</v>
      </c>
      <c r="I15" s="1"/>
    </row>
    <row r="16" spans="1:9" x14ac:dyDescent="0.25">
      <c r="A16" s="1"/>
      <c r="B16" s="109" t="s">
        <v>145</v>
      </c>
      <c r="C16" s="110"/>
      <c r="D16" s="110"/>
      <c r="E16" s="110"/>
      <c r="F16" s="111"/>
      <c r="G16" s="8">
        <v>0</v>
      </c>
      <c r="H16" s="8" t="s">
        <v>3</v>
      </c>
      <c r="I16" s="1"/>
    </row>
    <row r="17" spans="1:9" x14ac:dyDescent="0.25">
      <c r="A17" s="1"/>
      <c r="B17" s="109" t="s">
        <v>146</v>
      </c>
      <c r="C17" s="110"/>
      <c r="D17" s="110"/>
      <c r="E17" s="110"/>
      <c r="F17" s="111"/>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BtbCsBKQWioo0Y5wdpme+PV1Mb8kcuVZ4PXMf9LPSgGPkSyGct/AyjAAvroG5uYI7V+Z6iBPmNnzS93HRy9PTQ==" saltValue="31XKQqIQEgIMy6KwxTsFR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2022-08-15T08:27:21Z</dcterms:modified>
</cp:coreProperties>
</file>