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Lillerød Andelsvandværk a.m.b.a. (V123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C12" i="7"/>
  <c r="E10" i="2" l="1"/>
  <c r="E14" i="6"/>
  <c r="C11" i="12" l="1"/>
  <c r="C12" i="12" s="1"/>
  <c r="C13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<sst xmlns="http://schemas.openxmlformats.org/spreadsheetml/2006/main" count="401" uniqueCount="152">
  <si>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</si>
  <si>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</si>
  <si>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</si>
  <si>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</si>
  <si>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</si>
  <si>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</si>
  <si>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</si>
  <si>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</si>
  <si>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</si>
  <si>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</si>
  <si>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</si>
  <si>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</si>
  <si>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</si>
  <si>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</si>
  <si>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</si>
  <si>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</si>
  <si>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</si>
  <si>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</si>
  <si>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</si>
  <si>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</si>
  <si>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</si>
  <si>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</si>
  <si>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</si>
  <si>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</si>
  <si>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</si>
  <si>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</si>
  <si>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</si>
  <si>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</si>
  <si>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</si>
  <si>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</si>
  <si>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</si>
  <si>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</si>
  <si>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</si>
  <si>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</si>
  <si>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</si>
  <si>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</si>
  <si>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</si>
  <si>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</si>
  <si>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</si>
  <si>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</si>
  <si>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</si>
  <si>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</si>
  <si>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</si>
  <si>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</si>
  <si>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</si>
  <si>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</si>
  <si>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</si>
  <si>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</si>
  <si>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</si>
  <si>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</si>
  <si>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</si>
  <si>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</si>
  <si>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</si>
  <si>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</si>
  <si>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</si>
  <si>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</si>
  <si>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</si>
  <si>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</si>
  <si>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</si>
  <si>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</si>
  <si>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</si>
  <si>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</si>
  <si>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</si>
  <si>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</si>
  <si>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</si>
  <si>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</si>
  <si>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</si>
  <si>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</si>
  <si>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</si>
  <si>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</si>
  <si>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</si>
  <si>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</si>
  <si>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</si>
  <si>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</si>
  <si>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</si>
  <si>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</si>
  <si>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</si>
  <si>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</si>
  <si>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</si>
  <si>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</si>
  <si>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</si>
  <si>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</si>
  <si>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</si>
  <si>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</si>
  <si>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</si>
  <si>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</si>
  <si>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</si>
  <si>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</si>
  <si>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</si>
  <si>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</si>
  <si>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</si>
  <si>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</si>
  <si>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</si>
  <si>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</si>
  <si>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</si>
  <si>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</si>
  <si>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</si>
  <si>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</si>
  <si>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</si>
  <si>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</si>
  <si>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</si>
  <si>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</si>
  <si>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</si>
  <si>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</si>
  <si>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</si>
  <si>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</si>
  <si>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</si>
  <si>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</si>
  <si>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</si>
  <si>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</si>
  <si>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</si>
  <si>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</si>
  <si>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</si>
  <si>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</si>
  <si>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</si>
  <si>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</si>
  <si>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</si>
  <si>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</si>
  <si>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</si>
  <si>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</si>
  <si>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</si>
  <si>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</si>
  <si>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</si>
  <si>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</si>
  <si>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</si>
  <si>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</si>
  <si>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</si>
  <si>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</si>
  <si>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</si>
  <si>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</si>
  <si>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Afgift for ledningsført vand</t>
  </si>
  <si>
    <t>Afgift til Forsyningssekretariatet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</si>
  <si>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</si>
  <si>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</si>
  <si>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</si>
  <si>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</si>
  <si>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</si>
  <si>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</si>
  <si>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</si>
  <si>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</si>
  <si>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</si>
  <si>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</si>
  <si>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</si>
  <si>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</si>
  <si>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</si>
  <si>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</si>
  <si>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</si>
  <si>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</si>
  <si>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</si>
  <si>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</si>
  <si>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Ingen engangstillæg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</si>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</sst>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6" t="s">
        <v>94</v>
      </c>
      <c r="E8" s="66"/>
      <c r="F8" s="66"/>
      <c r="G8" s="6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87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15</v>
      </c>
      <c r="D14" s="58" t="s">
        <v>37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32</v>
      </c>
      <c r="D15" s="58" t="s">
        <v>63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33</v>
      </c>
      <c r="D16" s="58" t="s">
        <v>95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59</v>
      </c>
      <c r="D17" s="58" t="s">
        <v>96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7</v>
      </c>
      <c r="D18" s="70" t="s">
        <v>12</v>
      </c>
      <c r="E18" s="71"/>
      <c r="F18" s="71"/>
      <c r="G18" s="72"/>
      <c r="H18" s="1"/>
      <c r="I18" s="1"/>
    </row>
    <row r="19" spans="1:9" x14ac:dyDescent="0.45">
      <c r="A19" s="1"/>
      <c r="B19" s="1"/>
      <c r="C19" s="6" t="s">
        <v>8</v>
      </c>
      <c r="D19" s="62" t="s">
        <v>97</v>
      </c>
      <c r="E19" s="63"/>
      <c r="F19" s="63"/>
      <c r="G19" s="64"/>
      <c r="H19" s="1"/>
      <c r="I19" s="1"/>
    </row>
    <row r="20" spans="1:9" x14ac:dyDescent="0.45">
      <c r="A20" s="1"/>
      <c r="B20" s="1"/>
      <c r="C20" s="6" t="s">
        <v>56</v>
      </c>
      <c r="D20" s="62" t="s">
        <v>34</v>
      </c>
      <c r="E20" s="63"/>
      <c r="F20" s="63"/>
      <c r="G20" s="64"/>
      <c r="H20" s="1"/>
      <c r="I20" s="1"/>
    </row>
    <row r="21" spans="1:9" x14ac:dyDescent="0.45">
      <c r="A21" s="1"/>
      <c r="B21" s="1"/>
      <c r="C21" s="6" t="s">
        <v>82</v>
      </c>
      <c r="D21" s="62" t="s">
        <v>41</v>
      </c>
      <c r="E21" s="63"/>
      <c r="F21" s="63"/>
      <c r="G21" s="64"/>
      <c r="H21" s="1"/>
      <c r="I21" s="1"/>
    </row>
    <row r="22" spans="1:9" x14ac:dyDescent="0.45">
      <c r="A22" s="1"/>
      <c r="B22" s="1"/>
      <c r="C22" s="6" t="s">
        <v>83</v>
      </c>
      <c r="D22" s="62" t="s">
        <v>42</v>
      </c>
      <c r="E22" s="63"/>
      <c r="F22" s="63"/>
      <c r="G22" s="64"/>
      <c r="H22" s="1"/>
      <c r="I22" s="1"/>
    </row>
    <row r="23" spans="1:9" x14ac:dyDescent="0.45">
      <c r="A23" s="1"/>
      <c r="B23" s="1"/>
      <c r="C23" s="6" t="s">
        <v>84</v>
      </c>
      <c r="D23" s="62" t="s">
        <v>64</v>
      </c>
      <c r="E23" s="63"/>
      <c r="F23" s="63"/>
      <c r="G23" s="64"/>
      <c r="H23" s="1"/>
      <c r="I23" s="1"/>
    </row>
    <row r="24" spans="1:9" x14ac:dyDescent="0.45">
      <c r="A24" s="1"/>
      <c r="B24" s="1"/>
      <c r="C24" s="6" t="s">
        <v>9</v>
      </c>
      <c r="D24" s="62" t="s">
        <v>35</v>
      </c>
      <c r="E24" s="63"/>
      <c r="F24" s="63"/>
      <c r="G24" s="64"/>
      <c r="H24" s="1"/>
      <c r="I24" s="1"/>
    </row>
    <row r="25" spans="1:9" x14ac:dyDescent="0.45">
      <c r="A25" s="1"/>
      <c r="B25" s="1"/>
      <c r="C25" s="6" t="s">
        <v>50</v>
      </c>
      <c r="D25" s="67" t="s">
        <v>57</v>
      </c>
      <c r="E25" s="68"/>
      <c r="F25" s="68"/>
      <c r="G25" s="69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tAy9hs27F/xP9SrajQWCcpXO/Up5pY2AFCdHvV1SNIo4r+l7NCS22LtUeTNBwwwUmFTgV/rbx8FwKQVjtFLBw==" saltValue="5Eymthlt4vOEWrqXKq/uwg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4" t="s">
        <v>38</v>
      </c>
      <c r="C8" s="22"/>
      <c r="D8" s="22"/>
      <c r="E8" s="22"/>
      <c r="F8" s="55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4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TojGBiwAbJkyf3a0jCRcvCkpzjakGu6R78DKtU1PoBll1QV6PFg/UxC7vc9HGDEPGRbUvwqeGVg9wCJo4wqdow==" saltValue="5qKft4FFZX6T/ckfBJ4gQQ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150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4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4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3"/>
      <c r="G16" s="1"/>
    </row>
    <row r="17" spans="1:7" x14ac:dyDescent="0.45">
      <c r="A17" s="1"/>
      <c r="B17" s="20" t="s">
        <v>150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4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4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3"/>
      <c r="G23" s="1"/>
    </row>
    <row r="24" spans="1:7" x14ac:dyDescent="0.45">
      <c r="A24" s="1"/>
      <c r="B24" s="20" t="s">
        <v>150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4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4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3"/>
      <c r="G30" s="1"/>
    </row>
    <row r="31" spans="1:7" x14ac:dyDescent="0.45">
      <c r="A31" s="1"/>
      <c r="B31" s="20" t="s">
        <v>150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4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4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kgFyQdADdRT7gRJdQX9GyC3GMCCJAH+MpSyWGr0WZ2kR5yshPKNpuntA7C+S2AMX/sjMmVFDBL0fruKUFgyH8A==" saltValue="5SpIdq5YOgbbSW3L+9ufBQ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91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8PQX172Zn5JG2Jtl6LPJFnaAioKVScC0xXJxdxCmgZrXeuP/100gJbd1GzxB2KImgwVnyAS/qI6oSHGqpXoSTA==" saltValue="Bz3uHjoA8JNxyYhs/JosoQ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92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17</v>
      </c>
      <c r="C9" s="52" t="s">
        <v>11</v>
      </c>
      <c r="D9" s="53"/>
      <c r="E9" s="52" t="s">
        <v>28</v>
      </c>
      <c r="F9" s="53"/>
      <c r="G9" s="1"/>
    </row>
    <row r="10" spans="1:7" x14ac:dyDescent="0.45">
      <c r="A10" s="1"/>
      <c r="B10" s="20" t="s">
        <v>132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4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2" t="s">
        <v>17</v>
      </c>
      <c r="C15" s="52" t="s">
        <v>11</v>
      </c>
      <c r="D15" s="53"/>
      <c r="E15" s="52" t="s">
        <v>28</v>
      </c>
      <c r="F15" s="53"/>
      <c r="G15" s="1"/>
    </row>
    <row r="16" spans="1:7" x14ac:dyDescent="0.45">
      <c r="A16" s="1"/>
      <c r="B16" s="20" t="s">
        <v>132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4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4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2" t="s">
        <v>17</v>
      </c>
      <c r="C21" s="52" t="s">
        <v>11</v>
      </c>
      <c r="D21" s="53"/>
      <c r="E21" s="52" t="s">
        <v>28</v>
      </c>
      <c r="F21" s="53"/>
      <c r="G21" s="1"/>
    </row>
    <row r="22" spans="1:7" x14ac:dyDescent="0.45">
      <c r="A22" s="1"/>
      <c r="B22" s="20" t="s">
        <v>132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4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4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2" t="s">
        <v>17</v>
      </c>
      <c r="C27" s="52" t="s">
        <v>11</v>
      </c>
      <c r="D27" s="53"/>
      <c r="E27" s="52" t="s">
        <v>28</v>
      </c>
      <c r="F27" s="53"/>
      <c r="G27" s="1"/>
    </row>
    <row r="28" spans="1:7" x14ac:dyDescent="0.45">
      <c r="A28" s="1"/>
      <c r="B28" s="20" t="s">
        <v>132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4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4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MbHhVBNh0wYeV74GVO1ePh1kGNZdopmDdySRqxmXg0fCgXghvDsiJ0WAsciUHPOgmrFkI0glgi/G7LDPf5OkA==" saltValue="Fet9RtU9m6zAQ16wK9XUyQ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6" t="s">
        <v>93</v>
      </c>
      <c r="C3" s="86"/>
      <c r="D3" s="1"/>
    </row>
    <row r="4" spans="1:4" ht="25.5" customHeight="1" x14ac:dyDescent="0.45">
      <c r="A4" s="1"/>
      <c r="B4" s="86"/>
      <c r="C4" s="8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4" t="s">
        <v>14</v>
      </c>
      <c r="C8" s="55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4"/>
      <c r="C15" s="55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4" t="s">
        <v>54</v>
      </c>
      <c r="C18" s="55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sSgIu4C9Wupg9HUVomPBs9U7GxBkvBu8lJGVB6bDiiENrkc0RG7V7llP7X3mnNjDcVOjZ+UojDIMyBC+eXvlzA==" saltValue="eO5a+H8tIv9XbMN/bIepbQ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x14ac:dyDescent="0.45">
      <c r="A9" s="1"/>
      <c r="B9" s="37" t="s">
        <v>24</v>
      </c>
      <c r="C9" s="37"/>
      <c r="D9" s="37"/>
      <c r="E9" s="7">
        <f>'Fane 3. Omkostninger i ØR2021'!E16</f>
        <v>5986920.4356166134</v>
      </c>
      <c r="F9" s="37" t="s">
        <v>3</v>
      </c>
      <c r="G9" s="1"/>
    </row>
    <row r="10" spans="1:7" ht="17.100000000000001" customHeight="1" x14ac:dyDescent="0.45">
      <c r="A10" s="1"/>
      <c r="B10" s="33" t="s">
        <v>121</v>
      </c>
      <c r="C10" s="37"/>
      <c r="D10" s="37"/>
      <c r="E10" s="7">
        <f>'Fane 3. Omkostninger i ØR2021'!E13*(1-'Fane 10. Nøgletal'!C19)*(1+'Fane 10. Nøgletal'!C13)</f>
        <v>0</v>
      </c>
      <c r="F10" s="37" t="s">
        <v>3</v>
      </c>
      <c r="G10" s="1"/>
    </row>
    <row r="11" spans="1:7" ht="17.100000000000001" customHeight="1" x14ac:dyDescent="0.45">
      <c r="A11" s="1"/>
      <c r="B11" s="29" t="s">
        <v>60</v>
      </c>
      <c r="C11" s="37"/>
      <c r="D11" s="37"/>
      <c r="E11" s="7">
        <f>'Fane 7.1. Varige tillæg'!C12+'Fane 7.1. Varige tillæg'!E12</f>
        <v>0</v>
      </c>
      <c r="F11" s="37" t="s">
        <v>3</v>
      </c>
      <c r="G11" s="1"/>
    </row>
    <row r="12" spans="1:7" ht="17.100000000000001" customHeight="1" x14ac:dyDescent="0.45">
      <c r="A12" s="1"/>
      <c r="B12" s="29" t="s">
        <v>62</v>
      </c>
      <c r="C12" s="37"/>
      <c r="D12" s="37"/>
      <c r="E12" s="8">
        <f>-('Fane 9. Bortfald'!C12+'Fane 9. Bortfald'!E12)</f>
        <v>0</v>
      </c>
      <c r="F12" s="37" t="s">
        <v>3</v>
      </c>
      <c r="G12" s="1"/>
    </row>
    <row r="13" spans="1:7" ht="17.100000000000001" customHeight="1" x14ac:dyDescent="0.45">
      <c r="A13" s="1"/>
      <c r="B13" s="29" t="s">
        <v>65</v>
      </c>
      <c r="C13" s="37"/>
      <c r="D13" s="37"/>
      <c r="E13" s="8">
        <f>'Fane 8. Tilknyttet virksomhed'!C12+'Fane 8. Tilknyttet virksomhed'!E12</f>
        <v>0</v>
      </c>
      <c r="F13" s="37" t="s">
        <v>3</v>
      </c>
      <c r="G13" s="1"/>
    </row>
    <row r="14" spans="1:7" ht="17.100000000000001" customHeight="1" x14ac:dyDescent="0.45">
      <c r="A14" s="1"/>
      <c r="B14" s="29" t="s">
        <v>18</v>
      </c>
      <c r="C14" s="37"/>
      <c r="D14" s="37"/>
      <c r="E14" s="8">
        <f>E9*'Fane 10. Nøgletal'!C13+SUM(E11:E13)*'Fane 10. Nøgletal'!C14</f>
        <v>73040.429314522684</v>
      </c>
      <c r="F14" s="37" t="s">
        <v>3</v>
      </c>
      <c r="G14" s="1"/>
    </row>
    <row r="15" spans="1:7" ht="17.100000000000001" customHeight="1" x14ac:dyDescent="0.45">
      <c r="A15" s="1"/>
      <c r="B15" s="29" t="s">
        <v>54</v>
      </c>
      <c r="C15" s="37"/>
      <c r="D15" s="37"/>
      <c r="E15" s="8">
        <f>-SUM(E9,E11:E14)*'Fane 10. Nøgletal'!C19</f>
        <v>-103019.33470382933</v>
      </c>
      <c r="F15" s="37" t="s">
        <v>3</v>
      </c>
      <c r="G15" s="1"/>
    </row>
    <row r="16" spans="1:7" ht="15" customHeight="1" x14ac:dyDescent="0.45">
      <c r="A16" s="1"/>
      <c r="B16" s="51" t="s">
        <v>20</v>
      </c>
      <c r="C16" s="39"/>
      <c r="D16" s="39"/>
      <c r="E16" s="9">
        <f>SUM(E9,E11:E15)</f>
        <v>5956941.5302273072</v>
      </c>
      <c r="F16" s="41" t="s">
        <v>3</v>
      </c>
      <c r="G16" s="1"/>
    </row>
    <row r="17" spans="1:7" ht="15" customHeight="1" x14ac:dyDescent="0.4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45">
      <c r="A18" s="1"/>
      <c r="B18" s="41" t="s">
        <v>12</v>
      </c>
      <c r="C18" s="41"/>
      <c r="D18" s="41"/>
      <c r="E18" s="9">
        <f>'Fane 4. Ikke-påvirkelige omk.'!C13</f>
        <v>4042088.3064523805</v>
      </c>
      <c r="F18" s="41" t="s">
        <v>3</v>
      </c>
      <c r="G18" s="1"/>
    </row>
    <row r="19" spans="1:7" ht="15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" customHeight="1" x14ac:dyDescent="0.45">
      <c r="A20" s="1"/>
      <c r="B20" s="29" t="s">
        <v>39</v>
      </c>
      <c r="C20" s="37"/>
      <c r="D20" s="37"/>
      <c r="E20" s="8">
        <f>'Fane 7.2. Engangstillæg'!C13</f>
        <v>0</v>
      </c>
      <c r="F20" s="37" t="s">
        <v>3</v>
      </c>
      <c r="G20" s="1"/>
    </row>
    <row r="21" spans="1:7" x14ac:dyDescent="0.45">
      <c r="A21" s="1"/>
      <c r="B21" s="29" t="s">
        <v>40</v>
      </c>
      <c r="C21" s="37"/>
      <c r="D21" s="37"/>
      <c r="E21" s="8">
        <f>'Fane 7.2. Engangstillæg'!E13</f>
        <v>0</v>
      </c>
      <c r="F21" s="37" t="s">
        <v>3</v>
      </c>
      <c r="G21" s="1"/>
    </row>
    <row r="22" spans="1:7" ht="15" customHeight="1" x14ac:dyDescent="0.45">
      <c r="A22" s="1"/>
      <c r="B22" s="51" t="s">
        <v>43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1" t="s">
        <v>31</v>
      </c>
      <c r="C24" s="39"/>
      <c r="D24" s="39"/>
      <c r="E24" s="9">
        <v>91120.421177591459</v>
      </c>
      <c r="F24" s="41" t="s">
        <v>3</v>
      </c>
      <c r="G24" s="1"/>
    </row>
    <row r="25" spans="1:7" x14ac:dyDescent="0.45">
      <c r="A25" s="1"/>
      <c r="B25" s="51" t="s">
        <v>86</v>
      </c>
      <c r="C25" s="39"/>
      <c r="D25" s="39"/>
      <c r="E25" s="9">
        <f>'Fane 5. Kontrol af ØR2020'!E29</f>
        <v>0</v>
      </c>
      <c r="F25" s="41" t="s">
        <v>3</v>
      </c>
      <c r="G25" s="1"/>
    </row>
    <row r="26" spans="1:7" x14ac:dyDescent="0.45">
      <c r="A26" s="1"/>
      <c r="B26" s="40" t="s">
        <v>146</v>
      </c>
      <c r="C26" s="40"/>
      <c r="D26" s="40"/>
      <c r="E26" s="40"/>
      <c r="F26" s="40"/>
      <c r="G26" s="1"/>
    </row>
    <row r="27" spans="1:7" x14ac:dyDescent="0.45">
      <c r="A27" s="1"/>
      <c r="B27" s="41" t="s">
        <v>147</v>
      </c>
      <c r="C27" s="41"/>
      <c r="D27" s="41"/>
      <c r="E27" s="9">
        <v>0</v>
      </c>
      <c r="F27" s="41" t="s">
        <v>3</v>
      </c>
      <c r="G27" s="1"/>
    </row>
    <row r="28" spans="1:7" x14ac:dyDescent="0.45">
      <c r="A28" s="1"/>
      <c r="B28" s="40" t="s">
        <v>26</v>
      </c>
      <c r="C28" s="40"/>
      <c r="D28" s="40"/>
      <c r="E28" s="10">
        <f>SUM(E16,E18,E22,E24,E25,E27)</f>
        <v>10090150.25785728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QcTANMtHw4ZhjDOssH3ko9f+hI/9xMPrZ+tXq4E13/RgYU34jBDe8buQZZ5oFxZ0q5zwMxiVoD/v97Qw8kQMpQ==" saltValue="89grBmgdAnnosUN2vXSudg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45">
      <c r="A9" s="1"/>
      <c r="B9" s="37" t="s">
        <v>66</v>
      </c>
      <c r="C9" s="37"/>
      <c r="D9" s="37"/>
      <c r="E9" s="7">
        <f>'Fane 2.1. Økonomisk ramme 2022'!E16</f>
        <v>5956941.5302273072</v>
      </c>
      <c r="F9" s="37" t="s">
        <v>3</v>
      </c>
      <c r="G9" s="1"/>
    </row>
    <row r="10" spans="1:7" ht="15" customHeight="1" x14ac:dyDescent="0.45">
      <c r="A10" s="1"/>
      <c r="B10" s="29" t="s">
        <v>62</v>
      </c>
      <c r="C10" s="37"/>
      <c r="D10" s="37"/>
      <c r="E10" s="7">
        <f>-('Fane 9. Bortfald'!C18+'Fane 9. Bortfald'!E18)</f>
        <v>0</v>
      </c>
      <c r="F10" s="37" t="s">
        <v>3</v>
      </c>
      <c r="G10" s="1"/>
    </row>
    <row r="11" spans="1:7" ht="15" customHeight="1" x14ac:dyDescent="0.45">
      <c r="A11" s="1"/>
      <c r="B11" s="38" t="s">
        <v>18</v>
      </c>
      <c r="C11" s="37"/>
      <c r="D11" s="37"/>
      <c r="E11" s="8">
        <f>SUM(E9:E10)*'Fane 10. Nøgletal'!C14</f>
        <v>19657.907049750112</v>
      </c>
      <c r="F11" s="37" t="s">
        <v>3</v>
      </c>
      <c r="G11" s="1"/>
    </row>
    <row r="12" spans="1:7" ht="15" customHeight="1" x14ac:dyDescent="0.45">
      <c r="A12" s="1"/>
      <c r="B12" s="38" t="s">
        <v>54</v>
      </c>
      <c r="C12" s="37"/>
      <c r="D12" s="37"/>
      <c r="E12" s="8">
        <f>-SUM(E9:E11)*'Fane 10. Nøgletal'!C19</f>
        <v>-101602.19043370998</v>
      </c>
      <c r="F12" s="37" t="s">
        <v>3</v>
      </c>
      <c r="G12" s="1"/>
    </row>
    <row r="13" spans="1:7" ht="15" customHeight="1" x14ac:dyDescent="0.45">
      <c r="A13" s="1"/>
      <c r="B13" s="39" t="s">
        <v>20</v>
      </c>
      <c r="C13" s="39"/>
      <c r="D13" s="39"/>
      <c r="E13" s="9">
        <f>SUM(E9:E12)</f>
        <v>5874997.2468433473</v>
      </c>
      <c r="F13" s="41" t="s">
        <v>3</v>
      </c>
      <c r="G13" s="1"/>
    </row>
    <row r="14" spans="1:7" x14ac:dyDescent="0.4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45">
      <c r="A15" s="1"/>
      <c r="B15" s="41" t="s">
        <v>12</v>
      </c>
      <c r="C15" s="41"/>
      <c r="D15" s="41"/>
      <c r="E15" s="9">
        <f>'Fane 4. Ikke-påvirkelige omk.'!C13*(1+'Fane 10. Nøgletal'!C14)</f>
        <v>4055427.1978636738</v>
      </c>
      <c r="F15" s="41" t="s">
        <v>3</v>
      </c>
      <c r="G15" s="1"/>
    </row>
    <row r="16" spans="1:7" ht="15" customHeight="1" x14ac:dyDescent="0.45">
      <c r="A16" s="1"/>
      <c r="B16" s="40" t="s">
        <v>42</v>
      </c>
      <c r="C16" s="40"/>
      <c r="D16" s="40"/>
      <c r="E16" s="40"/>
      <c r="F16" s="40"/>
      <c r="G16" s="1"/>
    </row>
    <row r="17" spans="1:7" ht="15" customHeight="1" x14ac:dyDescent="0.45">
      <c r="A17" s="1"/>
      <c r="B17" s="29" t="s">
        <v>39</v>
      </c>
      <c r="C17" s="37"/>
      <c r="D17" s="37"/>
      <c r="E17" s="8">
        <f>'Fane 7.2. Engangstillæg'!C20</f>
        <v>0</v>
      </c>
      <c r="F17" s="37" t="s">
        <v>3</v>
      </c>
      <c r="G17" s="1"/>
    </row>
    <row r="18" spans="1:7" ht="15" customHeight="1" x14ac:dyDescent="0.45">
      <c r="A18" s="1"/>
      <c r="B18" s="29" t="s">
        <v>40</v>
      </c>
      <c r="C18" s="37"/>
      <c r="D18" s="37"/>
      <c r="E18" s="8">
        <f>'Fane 7.2. Engangstillæg'!E20</f>
        <v>0</v>
      </c>
      <c r="F18" s="37" t="s">
        <v>3</v>
      </c>
      <c r="G18" s="1"/>
    </row>
    <row r="19" spans="1:7" ht="15" customHeight="1" x14ac:dyDescent="0.45">
      <c r="A19" s="1"/>
      <c r="B19" s="51" t="s">
        <v>43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45">
      <c r="A20" s="1"/>
      <c r="B20" s="40" t="s">
        <v>85</v>
      </c>
      <c r="C20" s="40"/>
      <c r="D20" s="40"/>
      <c r="E20" s="40"/>
      <c r="F20" s="40"/>
      <c r="G20" s="1"/>
    </row>
    <row r="21" spans="1:7" x14ac:dyDescent="0.45">
      <c r="A21" s="1"/>
      <c r="B21" s="41" t="s">
        <v>148</v>
      </c>
      <c r="C21" s="41"/>
      <c r="D21" s="41"/>
      <c r="E21" s="9">
        <f>'Fane 5. Kontrol af ØR2020'!E35</f>
        <v>-22232.780939091928</v>
      </c>
      <c r="F21" s="41" t="s">
        <v>3</v>
      </c>
      <c r="G21" s="1"/>
    </row>
    <row r="22" spans="1:7" x14ac:dyDescent="0.45">
      <c r="A22" s="1"/>
      <c r="B22" s="40" t="s">
        <v>47</v>
      </c>
      <c r="C22" s="40"/>
      <c r="D22" s="40"/>
      <c r="E22" s="10">
        <f>SUM(E13,E15,E19,E21)</f>
        <v>9908191.6637679301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Ot/sTCZRkTv+wHdrGeh6NqXYEdtf99hOV9EMNnooQRItSBRAU/2EPt+0ddRyY58NaM54WVEqrJPEnvDe388cJg==" saltValue="WVy2REXhj+Mni4GuC4Etd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7" t="s">
        <v>67</v>
      </c>
      <c r="C8" s="37"/>
      <c r="D8" s="37"/>
      <c r="E8" s="7">
        <f>'Fane 2.2. Økonomisk ramme 2023'!E13</f>
        <v>5874997.2468433473</v>
      </c>
      <c r="F8" s="37" t="s">
        <v>3</v>
      </c>
      <c r="G8" s="1"/>
    </row>
    <row r="9" spans="1:7" ht="15" customHeight="1" x14ac:dyDescent="0.45">
      <c r="A9" s="1"/>
      <c r="B9" s="37" t="s">
        <v>62</v>
      </c>
      <c r="C9" s="37"/>
      <c r="D9" s="37"/>
      <c r="E9" s="7">
        <f>-('Fane 9. Bortfald'!C24+'Fane 9. Bortfald'!E24)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Nøgletal'!C14</f>
        <v>19387.490914583046</v>
      </c>
      <c r="F10" s="37" t="s">
        <v>3</v>
      </c>
      <c r="G10" s="1"/>
    </row>
    <row r="11" spans="1:7" ht="15" customHeight="1" x14ac:dyDescent="0.45">
      <c r="A11" s="1"/>
      <c r="B11" s="38" t="s">
        <v>54</v>
      </c>
      <c r="C11" s="37"/>
      <c r="D11" s="37"/>
      <c r="E11" s="8">
        <f>-SUM(E8:E10)*'Fane 10. Nøgletal'!C19</f>
        <v>-100204.54054188482</v>
      </c>
      <c r="F11" s="37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5794180.197216046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omk.'!C13*(1+'Fane 10. Nøgletal'!C14)^2</f>
        <v>4068810.1076166239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37"/>
      <c r="D16" s="37"/>
      <c r="E16" s="8">
        <f>'Fane 7.2. Engangstillæg'!C27</f>
        <v>0</v>
      </c>
      <c r="F16" s="37" t="s">
        <v>3</v>
      </c>
      <c r="G16" s="1"/>
    </row>
    <row r="17" spans="1:7" ht="15" customHeight="1" x14ac:dyDescent="0.45">
      <c r="A17" s="1"/>
      <c r="B17" s="29" t="s">
        <v>40</v>
      </c>
      <c r="C17" s="37"/>
      <c r="D17" s="37"/>
      <c r="E17" s="8">
        <f>'Fane 7.2. Engangstillæg'!E27</f>
        <v>0</v>
      </c>
      <c r="F17" s="37" t="s">
        <v>3</v>
      </c>
      <c r="G17" s="1"/>
    </row>
    <row r="18" spans="1:7" ht="15" customHeight="1" x14ac:dyDescent="0.45">
      <c r="A18" s="1"/>
      <c r="B18" s="51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-22232.780939091928</v>
      </c>
      <c r="F20" s="41" t="s">
        <v>3</v>
      </c>
      <c r="G20" s="1"/>
    </row>
    <row r="21" spans="1:7" x14ac:dyDescent="0.45">
      <c r="A21" s="1"/>
      <c r="B21" s="40" t="s">
        <v>68</v>
      </c>
      <c r="C21" s="40"/>
      <c r="D21" s="40"/>
      <c r="E21" s="10">
        <f>SUM(E12,E14,E18,E20)</f>
        <v>9840757.5238935798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1RNwmmuuoQOmkED4kkAAwxFVlengFwFkDjWB3DGqZgOszQtXpPEB1rEdM/ZKbug79Oe/EDdUoslQmjVXZukR8A==" saltValue="aIEkDf+jSQZLMLSFXzFGT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7" t="s">
        <v>103</v>
      </c>
      <c r="C8" s="37"/>
      <c r="D8" s="37"/>
      <c r="E8" s="7">
        <f>'Fane 2.3. Økonomisk ramme 2024'!E12</f>
        <v>5794180.197216046</v>
      </c>
      <c r="F8" s="37" t="s">
        <v>3</v>
      </c>
      <c r="G8" s="1"/>
    </row>
    <row r="9" spans="1:7" ht="15" customHeight="1" x14ac:dyDescent="0.45">
      <c r="A9" s="1"/>
      <c r="B9" s="37" t="s">
        <v>62</v>
      </c>
      <c r="C9" s="37"/>
      <c r="D9" s="37"/>
      <c r="E9" s="7">
        <f>-('Fane 9. Bortfald'!C30+'Fane 9. Bortfald'!E30)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Nøgletal'!C14</f>
        <v>19120.794650812953</v>
      </c>
      <c r="F10" s="37" t="s">
        <v>3</v>
      </c>
      <c r="G10" s="1"/>
    </row>
    <row r="11" spans="1:7" ht="15" customHeight="1" x14ac:dyDescent="0.45">
      <c r="A11" s="1"/>
      <c r="B11" s="38" t="s">
        <v>54</v>
      </c>
      <c r="C11" s="37"/>
      <c r="D11" s="37"/>
      <c r="E11" s="8">
        <f>-SUM(E8:E10)*'Fane 10. Nøgletal'!C19</f>
        <v>-98826.116861736606</v>
      </c>
      <c r="F11" s="37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5714474.8750051223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omk.'!C13*(1+'Fane 10. Nøgletal'!C14)^3</f>
        <v>4082237.1809717594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37"/>
      <c r="D16" s="37"/>
      <c r="E16" s="8">
        <f>'Fane 7.2. Engangstillæg'!C34</f>
        <v>0</v>
      </c>
      <c r="F16" s="37" t="s">
        <v>3</v>
      </c>
      <c r="G16" s="1"/>
    </row>
    <row r="17" spans="1:7" ht="15" customHeight="1" x14ac:dyDescent="0.45">
      <c r="A17" s="1"/>
      <c r="B17" s="29" t="s">
        <v>40</v>
      </c>
      <c r="C17" s="37"/>
      <c r="D17" s="37"/>
      <c r="E17" s="8">
        <f>'Fane 7.2. Engangstillæg'!E34</f>
        <v>0</v>
      </c>
      <c r="F17" s="37" t="s">
        <v>3</v>
      </c>
      <c r="G17" s="1"/>
    </row>
    <row r="18" spans="1:7" ht="15" customHeight="1" x14ac:dyDescent="0.45">
      <c r="A18" s="1"/>
      <c r="B18" s="51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-22232.780939091928</v>
      </c>
      <c r="F20" s="41" t="s">
        <v>3</v>
      </c>
      <c r="G20" s="1"/>
    </row>
    <row r="21" spans="1:7" x14ac:dyDescent="0.45">
      <c r="A21" s="1"/>
      <c r="B21" s="40" t="s">
        <v>104</v>
      </c>
      <c r="C21" s="40"/>
      <c r="D21" s="40"/>
      <c r="E21" s="10">
        <f>SUM(E12,E14,E18,E20)</f>
        <v>9774479.2750377916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lJuUg3jkxYeNk6wK1UOPy2BZ9tZh2ioEyIj5kXmK1EUGePI2qjLIW5T/gHkbYT67Qs92qm48bwcL9wOKvNcBgg==" saltValue="FvtzWBtSQacAFN8MM/eKN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105</v>
      </c>
      <c r="C3" s="86"/>
      <c r="D3" s="86"/>
      <c r="E3" s="86"/>
      <c r="F3" s="86"/>
      <c r="G3" s="1"/>
    </row>
    <row r="4" spans="1:7" ht="29.2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126</v>
      </c>
      <c r="C8" s="40"/>
      <c r="D8" s="40"/>
      <c r="E8" s="40"/>
      <c r="F8" s="40"/>
      <c r="G8" s="1"/>
    </row>
    <row r="9" spans="1:7" x14ac:dyDescent="0.45">
      <c r="A9" s="1"/>
      <c r="B9" s="87" t="s">
        <v>23</v>
      </c>
      <c r="C9" s="87"/>
      <c r="D9" s="87"/>
      <c r="E9" s="7">
        <v>5931127.435739222</v>
      </c>
      <c r="F9" s="37" t="s">
        <v>3</v>
      </c>
      <c r="G9" s="1"/>
    </row>
    <row r="10" spans="1:7" x14ac:dyDescent="0.45">
      <c r="A10" s="1"/>
      <c r="B10" s="76" t="s">
        <v>128</v>
      </c>
      <c r="C10" s="76"/>
      <c r="D10" s="76"/>
      <c r="E10" s="7">
        <v>85922.777113229051</v>
      </c>
      <c r="F10" s="37" t="s">
        <v>3</v>
      </c>
      <c r="G10" s="1"/>
    </row>
    <row r="11" spans="1:7" x14ac:dyDescent="0.45">
      <c r="A11" s="1"/>
      <c r="B11" s="76" t="s">
        <v>60</v>
      </c>
      <c r="C11" s="76"/>
      <c r="D11" s="76"/>
      <c r="E11" s="7">
        <v>0</v>
      </c>
      <c r="F11" s="37" t="s">
        <v>3</v>
      </c>
      <c r="G11" s="1"/>
    </row>
    <row r="12" spans="1:7" x14ac:dyDescent="0.45">
      <c r="A12" s="1"/>
      <c r="B12" s="76" t="s">
        <v>65</v>
      </c>
      <c r="C12" s="76"/>
      <c r="D12" s="76"/>
      <c r="E12" s="7">
        <v>0</v>
      </c>
      <c r="F12" s="37" t="s">
        <v>3</v>
      </c>
      <c r="G12" s="1"/>
    </row>
    <row r="13" spans="1:7" x14ac:dyDescent="0.45">
      <c r="A13" s="1"/>
      <c r="B13" s="76" t="s">
        <v>61</v>
      </c>
      <c r="C13" s="76"/>
      <c r="D13" s="76"/>
      <c r="E13" s="8">
        <v>0</v>
      </c>
      <c r="F13" s="37" t="s">
        <v>3</v>
      </c>
      <c r="G13" s="1"/>
    </row>
    <row r="14" spans="1:7" x14ac:dyDescent="0.45">
      <c r="A14" s="1"/>
      <c r="B14" s="76" t="s">
        <v>18</v>
      </c>
      <c r="C14" s="76"/>
      <c r="D14" s="76"/>
      <c r="E14" s="8">
        <f>SUM(E9:E13)*'Fane 10. Nøgletal'!C13</f>
        <v>73408.012596799905</v>
      </c>
      <c r="F14" s="37" t="s">
        <v>3</v>
      </c>
      <c r="G14" s="1"/>
    </row>
    <row r="15" spans="1:7" x14ac:dyDescent="0.45">
      <c r="A15" s="1"/>
      <c r="B15" s="76" t="s">
        <v>54</v>
      </c>
      <c r="C15" s="76"/>
      <c r="D15" s="76"/>
      <c r="E15" s="8">
        <f>-SUM(E9:E14)*'Fane 10. Nøgletal'!C19</f>
        <v>-103537.78983263728</v>
      </c>
      <c r="F15" s="37" t="s">
        <v>3</v>
      </c>
      <c r="G15" s="1"/>
    </row>
    <row r="16" spans="1:7" x14ac:dyDescent="0.45">
      <c r="A16" s="1"/>
      <c r="B16" s="77" t="s">
        <v>20</v>
      </c>
      <c r="C16" s="77"/>
      <c r="D16" s="77"/>
      <c r="E16" s="9">
        <f>SUM(E9:E15)</f>
        <v>5986920.4356166134</v>
      </c>
      <c r="F16" s="41" t="s">
        <v>3</v>
      </c>
      <c r="G16" s="1"/>
    </row>
    <row r="17" spans="1:7" x14ac:dyDescent="0.45">
      <c r="A17" s="1"/>
      <c r="B17" s="78" t="s">
        <v>12</v>
      </c>
      <c r="C17" s="78"/>
      <c r="D17" s="78"/>
      <c r="E17" s="40"/>
      <c r="F17" s="40"/>
      <c r="G17" s="1"/>
    </row>
    <row r="18" spans="1:7" x14ac:dyDescent="0.45">
      <c r="A18" s="1"/>
      <c r="B18" s="79" t="s">
        <v>12</v>
      </c>
      <c r="C18" s="79"/>
      <c r="D18" s="79"/>
      <c r="E18" s="9">
        <v>3998669.6611335599</v>
      </c>
      <c r="F18" s="41" t="s">
        <v>3</v>
      </c>
      <c r="G18" s="1"/>
    </row>
    <row r="19" spans="1:7" ht="15.4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.75" customHeight="1" x14ac:dyDescent="0.45">
      <c r="A20" s="1"/>
      <c r="B20" s="80" t="s">
        <v>39</v>
      </c>
      <c r="C20" s="81"/>
      <c r="D20" s="82"/>
      <c r="E20" s="35">
        <v>0</v>
      </c>
      <c r="F20" s="32" t="s">
        <v>3</v>
      </c>
      <c r="G20" s="1"/>
    </row>
    <row r="21" spans="1:7" x14ac:dyDescent="0.45">
      <c r="A21" s="1"/>
      <c r="B21" s="80" t="s">
        <v>40</v>
      </c>
      <c r="C21" s="81"/>
      <c r="D21" s="82"/>
      <c r="E21" s="35">
        <v>0</v>
      </c>
      <c r="F21" s="32" t="s">
        <v>3</v>
      </c>
      <c r="G21" s="1"/>
    </row>
    <row r="22" spans="1:7" x14ac:dyDescent="0.45">
      <c r="A22" s="1"/>
      <c r="B22" s="83" t="s">
        <v>43</v>
      </c>
      <c r="C22" s="84"/>
      <c r="D22" s="85"/>
      <c r="E22" s="9">
        <v>0</v>
      </c>
      <c r="F22" s="9" t="s">
        <v>3</v>
      </c>
      <c r="G22" s="1"/>
    </row>
    <row r="23" spans="1:7" ht="15.75" customHeight="1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1" t="s">
        <v>31</v>
      </c>
      <c r="C24" s="39"/>
      <c r="D24" s="39"/>
      <c r="E24" s="9">
        <v>91120.421177591459</v>
      </c>
      <c r="F24" s="41" t="s">
        <v>3</v>
      </c>
      <c r="G24" s="1"/>
    </row>
    <row r="25" spans="1:7" x14ac:dyDescent="0.45">
      <c r="A25" s="1"/>
      <c r="B25" s="51" t="s">
        <v>86</v>
      </c>
      <c r="C25" s="39"/>
      <c r="D25" s="39"/>
      <c r="E25" s="9">
        <v>-69592.197955469601</v>
      </c>
      <c r="F25" s="41" t="s">
        <v>3</v>
      </c>
      <c r="G25" s="1"/>
    </row>
    <row r="26" spans="1:7" ht="15" customHeight="1" x14ac:dyDescent="0.45">
      <c r="A26" s="1"/>
      <c r="B26" s="40" t="s">
        <v>25</v>
      </c>
      <c r="C26" s="40"/>
      <c r="D26" s="40"/>
      <c r="E26" s="10">
        <f>E16+E18+E22+E24+E25</f>
        <v>10007118.319972295</v>
      </c>
      <c r="F26" s="11" t="s">
        <v>3</v>
      </c>
      <c r="G26" s="1"/>
    </row>
    <row r="27" spans="1:7" ht="27" customHeight="1" x14ac:dyDescent="0.45">
      <c r="A27" s="1"/>
      <c r="B27" s="75" t="s">
        <v>120</v>
      </c>
      <c r="C27" s="75"/>
      <c r="D27" s="75"/>
      <c r="E27" s="75"/>
      <c r="F27" s="75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Pz5b3dGmQY++wUAVQB5Blu0qVdA77yHLBVU7liupGfZt6DUd0mqdyIt9JoL+NQl+rFXl+uFeFfehgJoze85+Yw==" saltValue="RE5zyqZtMlMx5YiySo/cPw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1" t="s">
        <v>106</v>
      </c>
      <c r="D9" s="41"/>
      <c r="E9" s="1"/>
      <c r="F9" s="1"/>
    </row>
    <row r="10" spans="1:6" x14ac:dyDescent="0.45">
      <c r="A10" s="1"/>
      <c r="B10" s="28" t="s">
        <v>130</v>
      </c>
      <c r="C10" s="8">
        <v>4002532</v>
      </c>
      <c r="D10" s="12" t="s">
        <v>3</v>
      </c>
      <c r="E10" s="1"/>
      <c r="F10" s="1"/>
    </row>
    <row r="11" spans="1:6" x14ac:dyDescent="0.45">
      <c r="A11" s="1"/>
      <c r="B11" s="28" t="s">
        <v>131</v>
      </c>
      <c r="C11" s="8">
        <v>13010</v>
      </c>
      <c r="D11" s="12" t="s">
        <v>3</v>
      </c>
      <c r="E11" s="1"/>
      <c r="F11" s="1"/>
    </row>
    <row r="12" spans="1:6" x14ac:dyDescent="0.45">
      <c r="A12" s="1"/>
      <c r="B12" s="54" t="s">
        <v>108</v>
      </c>
      <c r="C12" s="10">
        <f>SUM(C10:C11)</f>
        <v>4015542</v>
      </c>
      <c r="D12" s="11" t="s">
        <v>3</v>
      </c>
      <c r="E12" s="1"/>
      <c r="F12" s="1"/>
    </row>
    <row r="13" spans="1:6" x14ac:dyDescent="0.45">
      <c r="A13" s="1"/>
      <c r="B13" s="54" t="s">
        <v>109</v>
      </c>
      <c r="C13" s="10">
        <f>C12*(1+'Fane 10. Nøgletal'!C14)^2</f>
        <v>4042088.3064523805</v>
      </c>
      <c r="D13" s="11" t="s">
        <v>3</v>
      </c>
      <c r="E13" s="1"/>
      <c r="F13" s="1"/>
    </row>
    <row r="14" spans="1:6" x14ac:dyDescent="0.45">
      <c r="A14" s="1"/>
      <c r="B14" s="14"/>
      <c r="C14" s="13"/>
      <c r="D14" s="13"/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M6ipoXzHOmo8zckdeIBzuTqnhGu6H7ouV/8ZatMcGJq4pQFmnsiHsd8iVrTku80SyV8S6moPcJu//OrxAktptw==" saltValue="6zhhBTqL8ghiTs/oIv8zkw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151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ht="15" customHeight="1" x14ac:dyDescent="0.45">
      <c r="A5" s="1"/>
      <c r="B5" s="36"/>
      <c r="C5" s="36"/>
      <c r="D5" s="36"/>
      <c r="E5" s="36"/>
      <c r="F5" s="36"/>
      <c r="G5" s="1"/>
    </row>
    <row r="6" spans="1:7" ht="15" customHeight="1" x14ac:dyDescent="0.45">
      <c r="A6" s="1"/>
      <c r="B6" s="36"/>
      <c r="C6" s="36"/>
      <c r="D6" s="36"/>
      <c r="E6" s="36"/>
      <c r="F6" s="36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133</v>
      </c>
      <c r="C8" s="89"/>
      <c r="D8" s="89"/>
      <c r="E8" s="89"/>
      <c r="F8" s="90"/>
      <c r="G8" s="1"/>
    </row>
    <row r="9" spans="1:7" x14ac:dyDescent="0.45">
      <c r="A9" s="1"/>
      <c r="B9" s="98" t="s">
        <v>134</v>
      </c>
      <c r="C9" s="99"/>
      <c r="D9" s="100"/>
      <c r="E9" s="8">
        <v>-135281.81427269988</v>
      </c>
      <c r="F9" s="12" t="s">
        <v>3</v>
      </c>
      <c r="G9" s="1"/>
    </row>
    <row r="10" spans="1:7" x14ac:dyDescent="0.45">
      <c r="A10" s="1"/>
      <c r="B10" s="98" t="s">
        <v>135</v>
      </c>
      <c r="C10" s="99"/>
      <c r="D10" s="100"/>
      <c r="E10" s="8">
        <v>-174236.58163823932</v>
      </c>
      <c r="F10" s="12" t="s">
        <v>3</v>
      </c>
      <c r="G10" s="1"/>
    </row>
    <row r="11" spans="1:7" x14ac:dyDescent="0.45">
      <c r="A11" s="1"/>
      <c r="B11" s="98" t="s">
        <v>136</v>
      </c>
      <c r="C11" s="99"/>
      <c r="D11" s="100"/>
      <c r="E11" s="8">
        <v>170334.37199405394</v>
      </c>
      <c r="F11" s="12" t="s">
        <v>3</v>
      </c>
      <c r="G11" s="1"/>
    </row>
    <row r="12" spans="1:7" x14ac:dyDescent="0.45">
      <c r="A12" s="1"/>
      <c r="B12" s="54"/>
      <c r="C12" s="22"/>
      <c r="D12" s="22"/>
      <c r="E12" s="22"/>
      <c r="F12" s="55"/>
      <c r="G12" s="1"/>
    </row>
    <row r="13" spans="1:7" ht="51.75" customHeight="1" x14ac:dyDescent="0.45">
      <c r="A13" s="1"/>
      <c r="B13" s="101" t="s">
        <v>137</v>
      </c>
      <c r="C13" s="102"/>
      <c r="D13" s="102"/>
      <c r="E13" s="102"/>
      <c r="F13" s="103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138</v>
      </c>
      <c r="C15" s="89"/>
      <c r="D15" s="89"/>
      <c r="E15" s="89"/>
      <c r="F15" s="90"/>
      <c r="G15" s="1"/>
    </row>
    <row r="16" spans="1:7" x14ac:dyDescent="0.45">
      <c r="A16" s="1"/>
      <c r="B16" s="98" t="s">
        <v>139</v>
      </c>
      <c r="C16" s="99"/>
      <c r="D16" s="100"/>
      <c r="E16" s="8">
        <v>-69592.197955469601</v>
      </c>
      <c r="F16" s="12" t="s">
        <v>3</v>
      </c>
      <c r="G16" s="1"/>
    </row>
    <row r="17" spans="1:7" x14ac:dyDescent="0.45">
      <c r="A17" s="1"/>
      <c r="B17" s="98" t="s">
        <v>140</v>
      </c>
      <c r="C17" s="99"/>
      <c r="D17" s="100"/>
      <c r="E17" s="8">
        <v>-69592.197955469601</v>
      </c>
      <c r="F17" s="12" t="s">
        <v>3</v>
      </c>
      <c r="G17" s="1"/>
    </row>
    <row r="18" spans="1:7" x14ac:dyDescent="0.45">
      <c r="A18" s="1"/>
      <c r="B18" s="54"/>
      <c r="C18" s="22"/>
      <c r="D18" s="22"/>
      <c r="E18" s="22"/>
      <c r="F18" s="55"/>
      <c r="G18" s="1"/>
    </row>
    <row r="19" spans="1:7" ht="29.25" customHeight="1" x14ac:dyDescent="0.45">
      <c r="A19" s="1"/>
      <c r="B19" s="101" t="s">
        <v>141</v>
      </c>
      <c r="C19" s="102"/>
      <c r="D19" s="102"/>
      <c r="E19" s="102"/>
      <c r="F19" s="103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5" t="s">
        <v>122</v>
      </c>
      <c r="C21" s="46"/>
      <c r="D21" s="46"/>
      <c r="E21" s="46"/>
      <c r="F21" s="47"/>
      <c r="G21" s="1"/>
    </row>
    <row r="22" spans="1:7" x14ac:dyDescent="0.45">
      <c r="A22" s="1"/>
      <c r="B22" s="48" t="s">
        <v>123</v>
      </c>
      <c r="C22" s="49"/>
      <c r="D22" s="50"/>
      <c r="E22" s="8">
        <v>9138782.8762436323</v>
      </c>
      <c r="F22" s="12" t="s">
        <v>3</v>
      </c>
      <c r="G22" s="1"/>
    </row>
    <row r="23" spans="1:7" x14ac:dyDescent="0.45">
      <c r="A23" s="1"/>
      <c r="B23" s="48" t="s">
        <v>124</v>
      </c>
      <c r="C23" s="49"/>
      <c r="D23" s="50"/>
      <c r="E23" s="8">
        <v>9227714</v>
      </c>
      <c r="F23" s="12" t="s">
        <v>3</v>
      </c>
      <c r="G23" s="1"/>
    </row>
    <row r="24" spans="1:7" x14ac:dyDescent="0.45">
      <c r="A24" s="1"/>
      <c r="B24" s="48" t="s">
        <v>30</v>
      </c>
      <c r="C24" s="49"/>
      <c r="D24" s="50"/>
      <c r="E24" s="8">
        <v>0</v>
      </c>
      <c r="F24" s="12" t="s">
        <v>3</v>
      </c>
      <c r="G24" s="1"/>
    </row>
    <row r="25" spans="1:7" x14ac:dyDescent="0.45">
      <c r="A25" s="1"/>
      <c r="B25" s="42" t="s">
        <v>125</v>
      </c>
      <c r="C25" s="43"/>
      <c r="D25" s="44"/>
      <c r="E25" s="34">
        <f>E22-(E23-E24)</f>
        <v>-88931.123756367713</v>
      </c>
      <c r="F25" s="15" t="s">
        <v>3</v>
      </c>
      <c r="G25" s="1"/>
    </row>
    <row r="26" spans="1:7" x14ac:dyDescent="0.45">
      <c r="A26" s="1"/>
      <c r="B26" s="54"/>
      <c r="C26" s="22"/>
      <c r="D26" s="22"/>
      <c r="E26" s="22"/>
      <c r="F26" s="55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142</v>
      </c>
      <c r="C28" s="89"/>
      <c r="D28" s="89"/>
      <c r="E28" s="89"/>
      <c r="F28" s="90"/>
      <c r="G28" s="1"/>
    </row>
    <row r="29" spans="1:7" x14ac:dyDescent="0.45">
      <c r="A29" s="1"/>
      <c r="B29" s="83" t="s">
        <v>143</v>
      </c>
      <c r="C29" s="84"/>
      <c r="D29" s="85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144</v>
      </c>
      <c r="C32" s="89"/>
      <c r="D32" s="89"/>
      <c r="E32" s="89"/>
      <c r="F32" s="90"/>
      <c r="G32" s="1"/>
    </row>
    <row r="33" spans="1:7" x14ac:dyDescent="0.4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-88931.123756367713</v>
      </c>
      <c r="F33" s="12" t="s">
        <v>3</v>
      </c>
      <c r="G33" s="1"/>
    </row>
    <row r="34" spans="1:7" x14ac:dyDescent="0.4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45">
      <c r="A35" s="1"/>
      <c r="B35" s="94" t="s">
        <v>145</v>
      </c>
      <c r="C35" s="94"/>
      <c r="D35" s="94"/>
      <c r="E35" s="9">
        <f>E33/E34</f>
        <v>-22232.780939091928</v>
      </c>
      <c r="F35" s="15" t="s">
        <v>3</v>
      </c>
      <c r="G35" s="1"/>
    </row>
    <row r="36" spans="1:7" x14ac:dyDescent="0.45">
      <c r="A36" s="1"/>
      <c r="B36" s="91"/>
      <c r="C36" s="92"/>
      <c r="D36" s="92"/>
      <c r="E36" s="92"/>
      <c r="F36" s="93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U6b3hRBLz5o11xHaj0QlnQejK3oW8WxKBG0mG2yp39R6Mpx88Ym6l9CFXMzZDPrLUMPEUKML92JujWDMSrfRtw==" saltValue="Ob27VqvgUbxMrcIKBy8ptw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  <mergeCell ref="B36:F36"/>
    <mergeCell ref="B35:D35"/>
    <mergeCell ref="B34:D34"/>
    <mergeCell ref="B33:D33"/>
    <mergeCell ref="B32:F32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27</v>
      </c>
      <c r="H9" s="53"/>
      <c r="I9" s="1"/>
    </row>
    <row r="10" spans="1:9" x14ac:dyDescent="0.45">
      <c r="A10" s="1"/>
      <c r="B10" s="56" t="s">
        <v>149</v>
      </c>
      <c r="C10" s="57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1ltSkGTo2l97TNkp9QrFGRexaM2W1JycITc+LhWQe8DoyzxTfb+5snuQtGisVYONYuJj0pR1YHEERXomtEQWw==" saltValue="7XYCwyjrStXT/pwRtJZP1A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2021-08-29T20:37:34Z</dcterms:modified>
</cp:coreProperties>
</file>