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redensborg Vand AS (V054)\ØR2024\"/>
    </mc:Choice>
  </mc:AlternateContent>
  <xr:revisionPtr revIDLastSave="0" documentId="13_ncr:1_{84A4F3EE-C1EB-4FCB-B0E3-2BB48A437075}" xr6:coauthVersionLast="36" xr6:coauthVersionMax="36" xr10:uidLastSave="{00000000-0000-0000-0000-000000000000}"/>
  <bookViews>
    <workbookView xWindow="3110" yWindow="990" windowWidth="1274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17" i="22" l="1"/>
  <c r="C19" i="22"/>
  <c r="C17" i="15"/>
  <c r="C29" i="2"/>
  <c r="E23" i="41"/>
  <c r="E27" i="41" s="1"/>
  <c r="E31" i="41" l="1"/>
  <c r="E33" i="41" s="1"/>
  <c r="C8" i="2"/>
  <c r="C13" i="29" l="1"/>
  <c r="C14" i="29" s="1"/>
  <c r="E14" i="39" l="1"/>
  <c r="C14" i="39"/>
  <c r="C31" i="2" l="1"/>
  <c r="E15" i="39" l="1"/>
  <c r="C15" i="39"/>
  <c r="J11" i="11"/>
  <c r="H11" i="11"/>
  <c r="F10" i="11" l="1"/>
  <c r="F11" i="11" s="1"/>
  <c r="C19" i="23" l="1"/>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<sst xmlns="http://schemas.openxmlformats.org/spreadsheetml/2006/main" count="548" uniqueCount="261">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</sst>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8">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0" fontId="8" fillId="8" borderId="1" xfId="1" applyNumberFormat="1" applyFont="1" applyFill="1" applyBorder="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5"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12.179687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80" t="s">
        <v>4</v>
      </c>
      <c r="E6" s="80"/>
      <c r="F6" s="80"/>
      <c r="G6" s="80"/>
      <c r="H6" s="3"/>
      <c r="I6" s="1"/>
    </row>
    <row r="7" spans="1:9" ht="15" customHeight="1" x14ac:dyDescent="0.35">
      <c r="A7" s="1"/>
      <c r="B7" s="1"/>
      <c r="C7" s="3"/>
      <c r="D7" s="80"/>
      <c r="E7" s="80"/>
      <c r="F7" s="80"/>
      <c r="G7" s="80"/>
      <c r="H7" s="3"/>
      <c r="I7" s="1"/>
    </row>
    <row r="8" spans="1:9" ht="15.5" x14ac:dyDescent="0.35">
      <c r="A8" s="1"/>
      <c r="B8" s="1"/>
      <c r="C8" s="4"/>
      <c r="D8" s="85" t="s">
        <v>235</v>
      </c>
      <c r="E8" s="85"/>
      <c r="F8" s="85"/>
      <c r="G8" s="85"/>
      <c r="H8" s="4"/>
      <c r="I8" s="1"/>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84" t="s">
        <v>5</v>
      </c>
      <c r="E11" s="84"/>
      <c r="F11" s="84"/>
      <c r="G11" s="84"/>
      <c r="H11" s="5"/>
      <c r="I11" s="1"/>
    </row>
    <row r="12" spans="1:9" x14ac:dyDescent="0.35">
      <c r="A12" s="1"/>
      <c r="B12" s="1"/>
      <c r="C12" s="1"/>
      <c r="D12" s="1"/>
      <c r="E12" s="1"/>
      <c r="F12" s="1"/>
      <c r="G12" s="1"/>
      <c r="H12" s="1"/>
      <c r="I12" s="1"/>
    </row>
    <row r="13" spans="1:9" x14ac:dyDescent="0.35">
      <c r="A13" s="1"/>
      <c r="B13" s="1"/>
      <c r="C13" s="6" t="s">
        <v>6</v>
      </c>
      <c r="D13" s="77" t="s">
        <v>162</v>
      </c>
      <c r="E13" s="78"/>
      <c r="F13" s="78"/>
      <c r="G13" s="79"/>
      <c r="H13" s="1"/>
      <c r="I13" s="1"/>
    </row>
    <row r="14" spans="1:9" x14ac:dyDescent="0.35">
      <c r="A14" s="1"/>
      <c r="B14" s="1"/>
      <c r="C14" s="6" t="s">
        <v>14</v>
      </c>
      <c r="D14" s="77" t="s">
        <v>197</v>
      </c>
      <c r="E14" s="78"/>
      <c r="F14" s="78"/>
      <c r="G14" s="79"/>
      <c r="H14" s="1"/>
      <c r="I14" s="1"/>
    </row>
    <row r="15" spans="1:9" x14ac:dyDescent="0.35">
      <c r="A15" s="1"/>
      <c r="B15" s="1"/>
      <c r="C15" s="6" t="s">
        <v>30</v>
      </c>
      <c r="D15" s="77" t="s">
        <v>141</v>
      </c>
      <c r="E15" s="78"/>
      <c r="F15" s="78"/>
      <c r="G15" s="79"/>
      <c r="H15" s="1"/>
      <c r="I15" s="1"/>
    </row>
    <row r="16" spans="1:9" x14ac:dyDescent="0.35">
      <c r="A16" s="1"/>
      <c r="B16" s="1"/>
      <c r="C16" s="6" t="s">
        <v>31</v>
      </c>
      <c r="D16" s="77" t="s">
        <v>194</v>
      </c>
      <c r="E16" s="78"/>
      <c r="F16" s="78"/>
      <c r="G16" s="79"/>
      <c r="H16" s="1"/>
      <c r="I16" s="1"/>
    </row>
    <row r="17" spans="1:9" x14ac:dyDescent="0.35">
      <c r="A17" s="1"/>
      <c r="B17" s="1"/>
      <c r="C17" s="6" t="s">
        <v>102</v>
      </c>
      <c r="D17" s="77" t="s">
        <v>195</v>
      </c>
      <c r="E17" s="78"/>
      <c r="F17" s="78"/>
      <c r="G17" s="79"/>
      <c r="H17" s="1"/>
      <c r="I17" s="1"/>
    </row>
    <row r="18" spans="1:9" x14ac:dyDescent="0.35">
      <c r="A18" s="1"/>
      <c r="B18" s="1"/>
      <c r="C18" s="6" t="s">
        <v>86</v>
      </c>
      <c r="D18" s="86" t="s">
        <v>79</v>
      </c>
      <c r="E18" s="87"/>
      <c r="F18" s="87"/>
      <c r="G18" s="88"/>
      <c r="H18" s="1"/>
      <c r="I18" s="1"/>
    </row>
    <row r="19" spans="1:9" x14ac:dyDescent="0.35">
      <c r="A19" s="1"/>
      <c r="B19" s="1"/>
      <c r="C19" s="6" t="s">
        <v>87</v>
      </c>
      <c r="D19" s="86" t="s">
        <v>80</v>
      </c>
      <c r="E19" s="87"/>
      <c r="F19" s="87"/>
      <c r="G19" s="88"/>
      <c r="H19" s="1"/>
      <c r="I19" s="1"/>
    </row>
    <row r="20" spans="1:9" x14ac:dyDescent="0.35">
      <c r="A20" s="1"/>
      <c r="B20" s="1"/>
      <c r="C20" s="6" t="s">
        <v>7</v>
      </c>
      <c r="D20" s="86" t="s">
        <v>9</v>
      </c>
      <c r="E20" s="87"/>
      <c r="F20" s="87"/>
      <c r="G20" s="88"/>
      <c r="H20" s="1"/>
      <c r="I20" s="1"/>
    </row>
    <row r="21" spans="1:9" x14ac:dyDescent="0.35">
      <c r="A21" s="1"/>
      <c r="B21" s="1"/>
      <c r="C21" s="6" t="s">
        <v>88</v>
      </c>
      <c r="D21" s="92" t="s">
        <v>11</v>
      </c>
      <c r="E21" s="93"/>
      <c r="F21" s="93"/>
      <c r="G21" s="94"/>
      <c r="H21" s="1"/>
      <c r="I21" s="1"/>
    </row>
    <row r="22" spans="1:9" x14ac:dyDescent="0.35">
      <c r="A22" s="1"/>
      <c r="B22" s="1"/>
      <c r="C22" s="6" t="s">
        <v>73</v>
      </c>
      <c r="D22" s="81" t="s">
        <v>196</v>
      </c>
      <c r="E22" s="82"/>
      <c r="F22" s="82"/>
      <c r="G22" s="83"/>
      <c r="H22" s="1"/>
      <c r="I22" s="1"/>
    </row>
    <row r="23" spans="1:9" x14ac:dyDescent="0.35">
      <c r="A23" s="1"/>
      <c r="B23" s="1"/>
      <c r="C23" s="6" t="s">
        <v>8</v>
      </c>
      <c r="D23" s="81" t="s">
        <v>176</v>
      </c>
      <c r="E23" s="82"/>
      <c r="F23" s="82"/>
      <c r="G23" s="83"/>
      <c r="H23" s="1"/>
      <c r="I23" s="1"/>
    </row>
    <row r="24" spans="1:9" x14ac:dyDescent="0.35">
      <c r="A24" s="1"/>
      <c r="B24" s="1"/>
      <c r="C24" s="6" t="s">
        <v>172</v>
      </c>
      <c r="D24" s="81" t="s">
        <v>163</v>
      </c>
      <c r="E24" s="82"/>
      <c r="F24" s="82"/>
      <c r="G24" s="83"/>
      <c r="H24" s="1"/>
      <c r="I24" s="1"/>
    </row>
    <row r="25" spans="1:9" x14ac:dyDescent="0.35">
      <c r="A25" s="1"/>
      <c r="B25" s="1"/>
      <c r="C25" s="6" t="s">
        <v>173</v>
      </c>
      <c r="D25" s="81" t="s">
        <v>74</v>
      </c>
      <c r="E25" s="82"/>
      <c r="F25" s="82"/>
      <c r="G25" s="83"/>
      <c r="H25" s="1"/>
      <c r="I25" s="1"/>
    </row>
    <row r="26" spans="1:9" x14ac:dyDescent="0.35">
      <c r="A26" s="1"/>
      <c r="B26" s="1"/>
      <c r="C26" s="6" t="s">
        <v>174</v>
      </c>
      <c r="D26" s="81" t="s">
        <v>75</v>
      </c>
      <c r="E26" s="82"/>
      <c r="F26" s="82"/>
      <c r="G26" s="83"/>
      <c r="H26" s="1"/>
      <c r="I26" s="1"/>
    </row>
    <row r="27" spans="1:9" x14ac:dyDescent="0.35">
      <c r="A27" s="1"/>
      <c r="B27" s="1"/>
      <c r="C27" s="6" t="s">
        <v>89</v>
      </c>
      <c r="D27" s="81" t="s">
        <v>103</v>
      </c>
      <c r="E27" s="82"/>
      <c r="F27" s="82"/>
      <c r="G27" s="83"/>
      <c r="H27" s="1"/>
      <c r="I27" s="1"/>
    </row>
    <row r="28" spans="1:9" x14ac:dyDescent="0.35">
      <c r="A28" s="1"/>
      <c r="B28" s="1"/>
      <c r="C28" s="6" t="s">
        <v>83</v>
      </c>
      <c r="D28" s="81" t="s">
        <v>32</v>
      </c>
      <c r="E28" s="82"/>
      <c r="F28" s="82"/>
      <c r="G28" s="83"/>
      <c r="H28" s="1"/>
      <c r="I28" s="1"/>
    </row>
    <row r="29" spans="1:9" x14ac:dyDescent="0.35">
      <c r="A29" s="1"/>
      <c r="B29" s="1"/>
      <c r="C29" s="6" t="s">
        <v>175</v>
      </c>
      <c r="D29" s="89" t="s">
        <v>84</v>
      </c>
      <c r="E29" s="90"/>
      <c r="F29" s="90"/>
      <c r="G29" s="9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4"/>
      <c r="B51" s="44"/>
      <c r="C51" s="44"/>
      <c r="D51" s="44"/>
      <c r="E51" s="44"/>
      <c r="F51" s="44"/>
      <c r="G51" s="44"/>
      <c r="H51" s="44"/>
      <c r="I51" s="44"/>
    </row>
  </sheetData>
  <sheetProtection algorithmName="SHA-512" hashValue="qAcVBlTYA3s6h6f7MYTzCJlB5DhIuOcpiFctlJiZQLJ8X2jp+zengFVaKrGgf3FP1NmLao/qQju1xhiHlsH5qQ==" saltValue="IhVpw+Bpzk7BiKlkF32lv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796875" defaultRowHeight="14.5" x14ac:dyDescent="0.35"/>
  <cols>
    <col min="1" max="1" width="8.1796875" style="2" customWidth="1"/>
    <col min="2" max="2" width="37.7265625" style="2" customWidth="1"/>
    <col min="3" max="3" width="24.8164062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95" t="s">
        <v>92</v>
      </c>
      <c r="C3" s="95"/>
      <c r="D3" s="95"/>
      <c r="E3" s="1"/>
      <c r="F3" s="1"/>
    </row>
    <row r="4" spans="1:6" ht="15" customHeight="1" x14ac:dyDescent="0.35">
      <c r="A4" s="1"/>
      <c r="B4" s="95"/>
      <c r="C4" s="95"/>
      <c r="D4" s="95"/>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05" t="s">
        <v>226</v>
      </c>
      <c r="C8" s="106"/>
      <c r="D8" s="107"/>
      <c r="E8" s="1"/>
      <c r="F8" s="1"/>
    </row>
    <row r="9" spans="1:6" ht="15" customHeight="1" x14ac:dyDescent="0.35">
      <c r="A9" s="1"/>
      <c r="B9" s="32" t="s">
        <v>28</v>
      </c>
      <c r="C9" s="11" t="s">
        <v>212</v>
      </c>
      <c r="D9" s="11"/>
      <c r="E9" s="1"/>
      <c r="F9" s="1"/>
    </row>
    <row r="10" spans="1:6" ht="15" customHeight="1" x14ac:dyDescent="0.35">
      <c r="A10" s="1"/>
      <c r="B10" s="69" t="s">
        <v>243</v>
      </c>
      <c r="C10" s="9">
        <v>11093038</v>
      </c>
      <c r="D10" s="14" t="s">
        <v>3</v>
      </c>
      <c r="E10" s="1"/>
      <c r="F10" s="1"/>
    </row>
    <row r="11" spans="1:6" x14ac:dyDescent="0.35">
      <c r="A11" s="1"/>
      <c r="B11" s="69" t="s">
        <v>244</v>
      </c>
      <c r="C11" s="9">
        <v>94506</v>
      </c>
      <c r="D11" s="14" t="s">
        <v>3</v>
      </c>
      <c r="E11" s="1"/>
      <c r="F11" s="1"/>
    </row>
    <row r="12" spans="1:6" ht="26.5" x14ac:dyDescent="0.35">
      <c r="A12" s="1"/>
      <c r="B12" s="54" t="s">
        <v>245</v>
      </c>
      <c r="C12" s="9">
        <v>2924000</v>
      </c>
      <c r="D12" s="14" t="s">
        <v>3</v>
      </c>
      <c r="E12" s="1"/>
      <c r="F12" s="1"/>
    </row>
    <row r="13" spans="1:6" x14ac:dyDescent="0.35">
      <c r="A13" s="1"/>
      <c r="B13" s="69" t="s">
        <v>246</v>
      </c>
      <c r="C13" s="9">
        <v>88013</v>
      </c>
      <c r="D13" s="14" t="s">
        <v>3</v>
      </c>
      <c r="E13" s="1"/>
      <c r="F13" s="1"/>
    </row>
    <row r="14" spans="1:6" x14ac:dyDescent="0.35">
      <c r="A14" s="1"/>
      <c r="B14" s="69"/>
      <c r="C14" s="9"/>
      <c r="D14" s="14" t="s">
        <v>3</v>
      </c>
      <c r="E14" s="1"/>
      <c r="F14" s="1"/>
    </row>
    <row r="15" spans="1:6" x14ac:dyDescent="0.35">
      <c r="A15" s="1"/>
      <c r="B15" s="69"/>
      <c r="C15" s="9"/>
      <c r="D15" s="14" t="s">
        <v>3</v>
      </c>
      <c r="E15" s="1"/>
      <c r="F15" s="1"/>
    </row>
    <row r="16" spans="1:6" x14ac:dyDescent="0.35">
      <c r="A16" s="1"/>
      <c r="B16" s="69"/>
      <c r="C16" s="9"/>
      <c r="D16" s="14" t="s">
        <v>3</v>
      </c>
      <c r="E16" s="1"/>
      <c r="F16" s="1"/>
    </row>
    <row r="17" spans="1:6" x14ac:dyDescent="0.35">
      <c r="A17" s="1"/>
      <c r="B17" s="69"/>
      <c r="C17" s="9"/>
      <c r="D17" s="14" t="s">
        <v>3</v>
      </c>
      <c r="E17" s="1"/>
      <c r="F17" s="1"/>
    </row>
    <row r="18" spans="1:6" x14ac:dyDescent="0.35">
      <c r="A18" s="1"/>
      <c r="B18" s="69"/>
      <c r="C18" s="9"/>
      <c r="D18" s="14" t="s">
        <v>3</v>
      </c>
      <c r="E18" s="1"/>
      <c r="F18" s="1"/>
    </row>
    <row r="19" spans="1:6" x14ac:dyDescent="0.35">
      <c r="A19" s="1"/>
      <c r="B19" s="51" t="s">
        <v>213</v>
      </c>
      <c r="C19" s="12">
        <f>SUM(C10:C18)</f>
        <v>14199557</v>
      </c>
      <c r="D19" s="13" t="s">
        <v>3</v>
      </c>
      <c r="E19" s="1"/>
      <c r="F19" s="1"/>
    </row>
    <row r="20" spans="1:6" x14ac:dyDescent="0.35">
      <c r="A20" s="1"/>
      <c r="B20" s="51" t="s">
        <v>214</v>
      </c>
      <c r="C20" s="12">
        <f>C19*(1+'Fane 13. Nøgletal'!C16)^2</f>
        <v>16586909.207012478</v>
      </c>
      <c r="D20" s="13" t="s">
        <v>3</v>
      </c>
      <c r="E20" s="1"/>
      <c r="F20" s="1"/>
    </row>
    <row r="21" spans="1:6" x14ac:dyDescent="0.35">
      <c r="A21" s="1"/>
      <c r="B21" s="16"/>
      <c r="C21" s="15"/>
      <c r="D21" s="15"/>
      <c r="E21" s="1"/>
      <c r="F21" s="1"/>
    </row>
    <row r="22" spans="1:6" x14ac:dyDescent="0.35">
      <c r="A22" s="1"/>
      <c r="B22" s="16"/>
      <c r="C22" s="15"/>
      <c r="D22" s="15"/>
      <c r="E22" s="1"/>
      <c r="F22" s="1"/>
    </row>
    <row r="23" spans="1:6" x14ac:dyDescent="0.35">
      <c r="A23" s="1"/>
      <c r="B23" s="1"/>
      <c r="C23" s="1"/>
      <c r="D23" s="1"/>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44"/>
      <c r="B50" s="44"/>
      <c r="C50" s="44"/>
      <c r="D50" s="44"/>
      <c r="E50" s="44"/>
      <c r="F50" s="44"/>
    </row>
    <row r="51" spans="1:6" x14ac:dyDescent="0.35">
      <c r="A51" s="44"/>
      <c r="B51" s="44"/>
      <c r="C51" s="44"/>
      <c r="D51" s="44"/>
      <c r="E51" s="44"/>
      <c r="F51" s="44"/>
    </row>
    <row r="52" spans="1:6" x14ac:dyDescent="0.35">
      <c r="A52" s="44"/>
      <c r="B52" s="44"/>
      <c r="C52" s="44"/>
      <c r="D52" s="44"/>
      <c r="E52" s="44"/>
      <c r="F52" s="44"/>
    </row>
    <row r="53" spans="1:6" x14ac:dyDescent="0.35">
      <c r="A53" s="44"/>
      <c r="B53" s="44"/>
      <c r="C53" s="44"/>
      <c r="D53" s="44"/>
      <c r="E53" s="44"/>
      <c r="F53" s="44"/>
    </row>
    <row r="54" spans="1:6" x14ac:dyDescent="0.35">
      <c r="A54" s="44"/>
      <c r="B54" s="44"/>
      <c r="C54" s="44"/>
      <c r="D54" s="44"/>
      <c r="E54" s="44"/>
      <c r="F54" s="44"/>
    </row>
    <row r="55" spans="1:6" x14ac:dyDescent="0.35">
      <c r="A55" s="44"/>
      <c r="B55" s="44"/>
      <c r="C55" s="44"/>
      <c r="D55" s="44"/>
      <c r="E55" s="44"/>
      <c r="F55" s="44"/>
    </row>
  </sheetData>
  <sheetProtection algorithmName="SHA-512" hashValue="nowLYdG/iQPBh9Pz4O2wctK+/juTu/+rf/+5FJtsxjVlSSQyKFn3nMM0RzqRxyUBoOvfYVCwidLo7+yRMegEaA==" saltValue="uXwwMbeskXscsvEBqWG87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796875" defaultRowHeight="14.5" x14ac:dyDescent="0.35"/>
  <cols>
    <col min="1" max="1" width="3.54296875" style="2" customWidth="1"/>
    <col min="2" max="3" width="9.1796875" style="2"/>
    <col min="4" max="4" width="45.81640625" style="2" customWidth="1"/>
    <col min="5" max="5" width="12.269531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98" t="s">
        <v>227</v>
      </c>
      <c r="C3" s="98"/>
      <c r="D3" s="98"/>
      <c r="E3" s="98"/>
      <c r="F3" s="98"/>
      <c r="G3" s="1"/>
    </row>
    <row r="4" spans="1:7" ht="15" customHeight="1" x14ac:dyDescent="0.35">
      <c r="A4" s="1"/>
      <c r="B4" s="98"/>
      <c r="C4" s="98"/>
      <c r="D4" s="98"/>
      <c r="E4" s="98"/>
      <c r="F4" s="98"/>
      <c r="G4" s="1"/>
    </row>
    <row r="5" spans="1:7" ht="15" customHeight="1" x14ac:dyDescent="0.35">
      <c r="A5" s="1"/>
      <c r="B5" s="62"/>
      <c r="C5" s="62"/>
      <c r="D5" s="62"/>
      <c r="E5" s="62"/>
      <c r="F5" s="62"/>
      <c r="G5" s="1"/>
    </row>
    <row r="6" spans="1:7" ht="15" customHeight="1" x14ac:dyDescent="0.35">
      <c r="A6" s="1"/>
      <c r="B6" s="62"/>
      <c r="C6" s="62"/>
      <c r="D6" s="62"/>
      <c r="E6" s="62"/>
      <c r="F6" s="62"/>
      <c r="G6" s="1"/>
    </row>
    <row r="7" spans="1:7" x14ac:dyDescent="0.35">
      <c r="A7" s="1"/>
      <c r="B7" s="1"/>
      <c r="C7" s="1"/>
      <c r="D7" s="1"/>
      <c r="E7" s="1"/>
      <c r="F7" s="1"/>
      <c r="G7" s="1"/>
    </row>
    <row r="8" spans="1:7" x14ac:dyDescent="0.35">
      <c r="A8" s="1"/>
      <c r="B8" s="105" t="s">
        <v>248</v>
      </c>
      <c r="C8" s="106"/>
      <c r="D8" s="106"/>
      <c r="E8" s="106"/>
      <c r="F8" s="107"/>
      <c r="G8" s="1"/>
    </row>
    <row r="9" spans="1:7" x14ac:dyDescent="0.35">
      <c r="A9" s="1"/>
      <c r="B9" s="99" t="s">
        <v>249</v>
      </c>
      <c r="C9" s="100"/>
      <c r="D9" s="101"/>
      <c r="E9" s="28">
        <v>-2245868.1595312506</v>
      </c>
      <c r="F9" s="14" t="s">
        <v>3</v>
      </c>
      <c r="G9" s="1"/>
    </row>
    <row r="10" spans="1:7" x14ac:dyDescent="0.35">
      <c r="A10" s="1"/>
      <c r="B10" s="51"/>
      <c r="C10" s="52"/>
      <c r="D10" s="52"/>
      <c r="E10" s="52"/>
      <c r="F10" s="19"/>
      <c r="G10" s="1"/>
    </row>
    <row r="11" spans="1:7" ht="54" customHeight="1" x14ac:dyDescent="0.35">
      <c r="A11" s="1"/>
      <c r="B11" s="121" t="s">
        <v>250</v>
      </c>
      <c r="C11" s="122"/>
      <c r="D11" s="122"/>
      <c r="E11" s="122"/>
      <c r="F11" s="123"/>
      <c r="G11" s="1"/>
    </row>
    <row r="12" spans="1:7" x14ac:dyDescent="0.35">
      <c r="A12" s="1"/>
      <c r="B12" s="1"/>
      <c r="C12" s="1"/>
      <c r="D12" s="1"/>
      <c r="E12" s="1"/>
      <c r="F12" s="1"/>
      <c r="G12" s="1"/>
    </row>
    <row r="13" spans="1:7" x14ac:dyDescent="0.35">
      <c r="A13" s="1"/>
      <c r="B13" s="105" t="s">
        <v>140</v>
      </c>
      <c r="C13" s="106"/>
      <c r="D13" s="106"/>
      <c r="E13" s="106"/>
      <c r="F13" s="107"/>
      <c r="G13" s="1"/>
    </row>
    <row r="14" spans="1:7" x14ac:dyDescent="0.35">
      <c r="A14" s="1"/>
      <c r="B14" s="99" t="s">
        <v>251</v>
      </c>
      <c r="C14" s="100"/>
      <c r="D14" s="101"/>
      <c r="E14" s="9">
        <v>0</v>
      </c>
      <c r="F14" s="14" t="s">
        <v>3</v>
      </c>
      <c r="G14" s="1"/>
    </row>
    <row r="15" spans="1:7" x14ac:dyDescent="0.35">
      <c r="A15" s="1"/>
      <c r="B15" s="99" t="s">
        <v>252</v>
      </c>
      <c r="C15" s="100"/>
      <c r="D15" s="101"/>
      <c r="E15" s="9">
        <v>0</v>
      </c>
      <c r="F15" s="14" t="s">
        <v>3</v>
      </c>
      <c r="G15" s="1"/>
    </row>
    <row r="16" spans="1:7" x14ac:dyDescent="0.35">
      <c r="A16" s="1"/>
      <c r="B16" s="51"/>
      <c r="C16" s="52"/>
      <c r="D16" s="52"/>
      <c r="E16" s="52"/>
      <c r="F16" s="19"/>
      <c r="G16" s="1"/>
    </row>
    <row r="17" spans="1:7" ht="36" customHeight="1" x14ac:dyDescent="0.35">
      <c r="A17" s="1"/>
      <c r="B17" s="121" t="s">
        <v>253</v>
      </c>
      <c r="C17" s="122"/>
      <c r="D17" s="122"/>
      <c r="E17" s="122"/>
      <c r="F17" s="123"/>
      <c r="G17" s="1"/>
    </row>
    <row r="18" spans="1:7" x14ac:dyDescent="0.35">
      <c r="A18" s="1"/>
      <c r="B18" s="1"/>
      <c r="C18" s="1"/>
      <c r="D18" s="1"/>
      <c r="E18" s="1"/>
      <c r="F18" s="1"/>
      <c r="G18" s="1"/>
    </row>
    <row r="19" spans="1:7" x14ac:dyDescent="0.35">
      <c r="A19" s="1"/>
      <c r="B19" s="63" t="s">
        <v>254</v>
      </c>
      <c r="C19" s="64"/>
      <c r="D19" s="64"/>
      <c r="E19" s="64"/>
      <c r="F19" s="65"/>
      <c r="G19" s="1"/>
    </row>
    <row r="20" spans="1:7" x14ac:dyDescent="0.35">
      <c r="A20" s="1"/>
      <c r="B20" s="66" t="s">
        <v>255</v>
      </c>
      <c r="C20" s="67"/>
      <c r="D20" s="68"/>
      <c r="E20" s="9">
        <v>29130382.066164769</v>
      </c>
      <c r="F20" s="14" t="s">
        <v>3</v>
      </c>
      <c r="G20" s="1"/>
    </row>
    <row r="21" spans="1:7" x14ac:dyDescent="0.35">
      <c r="A21" s="1"/>
      <c r="B21" s="66" t="s">
        <v>256</v>
      </c>
      <c r="C21" s="67"/>
      <c r="D21" s="68"/>
      <c r="E21" s="9">
        <v>27421860.009999998</v>
      </c>
      <c r="F21" s="14" t="s">
        <v>3</v>
      </c>
      <c r="G21" s="1"/>
    </row>
    <row r="22" spans="1:7" x14ac:dyDescent="0.35">
      <c r="A22" s="1"/>
      <c r="B22" s="66" t="s">
        <v>29</v>
      </c>
      <c r="C22" s="67"/>
      <c r="D22" s="68"/>
      <c r="E22" s="9">
        <v>0</v>
      </c>
      <c r="F22" s="14" t="s">
        <v>3</v>
      </c>
      <c r="G22" s="1"/>
    </row>
    <row r="23" spans="1:7" x14ac:dyDescent="0.35">
      <c r="A23" s="1"/>
      <c r="B23" s="71" t="s">
        <v>257</v>
      </c>
      <c r="C23" s="72"/>
      <c r="D23" s="73"/>
      <c r="E23" s="10">
        <f>E20-(E21-E22)</f>
        <v>1708522.0561647713</v>
      </c>
      <c r="F23" s="17" t="s">
        <v>3</v>
      </c>
      <c r="G23" s="1"/>
    </row>
    <row r="24" spans="1:7" x14ac:dyDescent="0.35">
      <c r="A24" s="1"/>
      <c r="B24" s="51"/>
      <c r="C24" s="52"/>
      <c r="D24" s="52"/>
      <c r="E24" s="52"/>
      <c r="F24" s="19"/>
      <c r="G24" s="1"/>
    </row>
    <row r="25" spans="1:7" x14ac:dyDescent="0.35">
      <c r="A25" s="1"/>
      <c r="B25" s="1"/>
      <c r="C25" s="1"/>
      <c r="D25" s="1"/>
      <c r="E25" s="1"/>
      <c r="F25" s="1"/>
      <c r="G25" s="1"/>
    </row>
    <row r="26" spans="1:7" x14ac:dyDescent="0.35">
      <c r="A26" s="1"/>
      <c r="B26" s="105" t="s">
        <v>258</v>
      </c>
      <c r="C26" s="106"/>
      <c r="D26" s="106"/>
      <c r="E26" s="106"/>
      <c r="F26" s="107"/>
      <c r="G26" s="1"/>
    </row>
    <row r="27" spans="1:7" x14ac:dyDescent="0.35">
      <c r="A27" s="1"/>
      <c r="B27" s="124" t="s">
        <v>259</v>
      </c>
      <c r="C27" s="125"/>
      <c r="D27" s="126"/>
      <c r="E27" s="59">
        <f>IF(AND(E15&lt;0,E23&gt;0,ABS(SUM(E14:E15))&lt;E23),ABS(E14),IF(AND(E15&lt;0,E23&gt;0,ABS(SUM(E14:E15))&gt;E23),SUM(E14,E23),0))</f>
        <v>0</v>
      </c>
      <c r="F27" s="17" t="s">
        <v>3</v>
      </c>
      <c r="G27" s="1"/>
    </row>
    <row r="28" spans="1:7" x14ac:dyDescent="0.35">
      <c r="A28" s="1"/>
      <c r="B28" s="105"/>
      <c r="C28" s="106"/>
      <c r="D28" s="106"/>
      <c r="E28" s="106"/>
      <c r="F28" s="107"/>
      <c r="G28" s="1"/>
    </row>
    <row r="29" spans="1:7" x14ac:dyDescent="0.35">
      <c r="A29" s="1"/>
      <c r="B29" s="1"/>
      <c r="C29" s="1"/>
      <c r="D29" s="1"/>
      <c r="E29" s="1"/>
      <c r="F29" s="1"/>
      <c r="G29" s="1"/>
    </row>
    <row r="30" spans="1:7" x14ac:dyDescent="0.35">
      <c r="A30" s="1"/>
      <c r="B30" s="105" t="s">
        <v>260</v>
      </c>
      <c r="C30" s="106"/>
      <c r="D30" s="106"/>
      <c r="E30" s="106"/>
      <c r="F30" s="107"/>
      <c r="G30" s="1"/>
    </row>
    <row r="31" spans="1:7" x14ac:dyDescent="0.35">
      <c r="A31" s="1"/>
      <c r="B31" s="127" t="s">
        <v>117</v>
      </c>
      <c r="C31" s="128"/>
      <c r="D31" s="129"/>
      <c r="E31" s="60">
        <f>IF(AND(E9&gt;0,(E9+E23)&gt;0),0,IF(AND(E9&gt;0,(E9+E23)&lt;0),(E9+E23),IF(AND(E9&lt;0,E23&lt;0),E23,0)))</f>
        <v>0</v>
      </c>
      <c r="F31" s="14" t="s">
        <v>3</v>
      </c>
      <c r="G31" s="1"/>
    </row>
    <row r="32" spans="1:7" x14ac:dyDescent="0.35">
      <c r="A32" s="1"/>
      <c r="B32" s="127" t="s">
        <v>85</v>
      </c>
      <c r="C32" s="128"/>
      <c r="D32" s="129"/>
      <c r="E32" s="9">
        <v>2</v>
      </c>
      <c r="F32" s="14" t="s">
        <v>18</v>
      </c>
      <c r="G32" s="1"/>
    </row>
    <row r="33" spans="1:7" x14ac:dyDescent="0.35">
      <c r="A33" s="1"/>
      <c r="B33" s="117" t="s">
        <v>116</v>
      </c>
      <c r="C33" s="117"/>
      <c r="D33" s="117"/>
      <c r="E33" s="59">
        <f>E31/E32</f>
        <v>0</v>
      </c>
      <c r="F33" s="17" t="s">
        <v>3</v>
      </c>
      <c r="G33" s="1"/>
    </row>
    <row r="34" spans="1:7" x14ac:dyDescent="0.35">
      <c r="A34" s="1"/>
      <c r="B34" s="118"/>
      <c r="C34" s="119"/>
      <c r="D34" s="119"/>
      <c r="E34" s="119"/>
      <c r="F34" s="120"/>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sheetData>
  <sheetProtection algorithmName="SHA-512" hashValue="AGw5BCnZFbWuSLZ/P+T53Bt/JRfCKMRDOMeCFi557SiebJPz8AssaFLEOvAIHrqA24f9Fsj0E/QvMR11iq2IaQ==" saltValue="plYq57/nAwGSFRCme9FUdA==" spinCount="100000" sheet="1" objects="1" scenarios="1"/>
  <mergeCells count="16">
    <mergeCell ref="B13:F13"/>
    <mergeCell ref="B3:F4"/>
    <mergeCell ref="B8:F8"/>
    <mergeCell ref="B9:D9"/>
    <mergeCell ref="B11:F11"/>
    <mergeCell ref="B33:D33"/>
    <mergeCell ref="B34:F34"/>
    <mergeCell ref="B14:D14"/>
    <mergeCell ref="B15:D15"/>
    <mergeCell ref="B17:F17"/>
    <mergeCell ref="B26:F26"/>
    <mergeCell ref="B27:D27"/>
    <mergeCell ref="B31:D31"/>
    <mergeCell ref="B28:F28"/>
    <mergeCell ref="B30:F30"/>
    <mergeCell ref="B32:D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796875" defaultRowHeight="14.5" x14ac:dyDescent="0.35"/>
  <cols>
    <col min="1" max="1" width="4.7265625" style="34" customWidth="1"/>
    <col min="2" max="2" width="22.54296875" style="34" customWidth="1"/>
    <col min="3" max="3" width="8.26953125" style="34" customWidth="1"/>
    <col min="4" max="6" width="10.7265625" style="34" customWidth="1"/>
    <col min="7" max="7" width="11.1796875" style="34" customWidth="1"/>
    <col min="8" max="8" width="3.26953125" style="34" customWidth="1"/>
    <col min="9" max="9" width="4.81640625" style="34" customWidth="1"/>
    <col min="10" max="16384" width="9.1796875" style="34"/>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95" t="s">
        <v>183</v>
      </c>
      <c r="C3" s="95"/>
      <c r="D3" s="95"/>
      <c r="E3" s="95"/>
      <c r="F3" s="95"/>
      <c r="G3" s="95"/>
      <c r="H3" s="95"/>
      <c r="I3" s="1"/>
    </row>
    <row r="4" spans="1:9" ht="15" customHeight="1" x14ac:dyDescent="0.35">
      <c r="A4" s="1"/>
      <c r="B4" s="95"/>
      <c r="C4" s="95"/>
      <c r="D4" s="95"/>
      <c r="E4" s="95"/>
      <c r="F4" s="95"/>
      <c r="G4" s="95"/>
      <c r="H4" s="95"/>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05" t="s">
        <v>184</v>
      </c>
      <c r="C8" s="106"/>
      <c r="D8" s="106"/>
      <c r="E8" s="106"/>
      <c r="F8" s="106"/>
      <c r="G8" s="106"/>
      <c r="H8" s="107"/>
      <c r="I8" s="1"/>
    </row>
    <row r="9" spans="1:9" ht="15" customHeight="1" x14ac:dyDescent="0.35">
      <c r="A9" s="1"/>
      <c r="B9" s="130" t="s">
        <v>234</v>
      </c>
      <c r="C9" s="131"/>
      <c r="D9" s="131"/>
      <c r="E9" s="131"/>
      <c r="F9" s="131"/>
      <c r="G9" s="131"/>
      <c r="H9" s="132"/>
      <c r="I9" s="1"/>
    </row>
    <row r="10" spans="1:9" x14ac:dyDescent="0.35">
      <c r="A10" s="1"/>
      <c r="B10" s="133" t="s">
        <v>185</v>
      </c>
      <c r="C10" s="134"/>
      <c r="D10" s="134"/>
      <c r="E10" s="134"/>
      <c r="F10" s="135"/>
      <c r="G10" s="45"/>
      <c r="H10" s="9" t="s">
        <v>3</v>
      </c>
      <c r="I10" s="1"/>
    </row>
    <row r="11" spans="1:9" x14ac:dyDescent="0.35">
      <c r="A11" s="1"/>
      <c r="B11" s="133" t="s">
        <v>186</v>
      </c>
      <c r="C11" s="134"/>
      <c r="D11" s="134"/>
      <c r="E11" s="134"/>
      <c r="F11" s="135"/>
      <c r="G11" s="45"/>
      <c r="H11" s="9" t="s">
        <v>3</v>
      </c>
      <c r="I11" s="1"/>
    </row>
    <row r="12" spans="1:9" x14ac:dyDescent="0.35">
      <c r="A12" s="1"/>
      <c r="B12" s="133" t="s">
        <v>187</v>
      </c>
      <c r="C12" s="134"/>
      <c r="D12" s="134"/>
      <c r="E12" s="134"/>
      <c r="F12" s="135"/>
      <c r="G12" s="9"/>
      <c r="H12" s="9" t="s">
        <v>3</v>
      </c>
      <c r="I12" s="1"/>
    </row>
    <row r="13" spans="1:9" x14ac:dyDescent="0.35">
      <c r="A13" s="1"/>
      <c r="B13" s="133" t="s">
        <v>188</v>
      </c>
      <c r="C13" s="134"/>
      <c r="D13" s="134"/>
      <c r="E13" s="134"/>
      <c r="F13" s="135"/>
      <c r="G13" s="9"/>
      <c r="H13" s="9" t="s">
        <v>3</v>
      </c>
      <c r="I13" s="1"/>
    </row>
    <row r="14" spans="1:9" x14ac:dyDescent="0.35">
      <c r="A14" s="1"/>
      <c r="B14" s="133" t="s">
        <v>189</v>
      </c>
      <c r="C14" s="134"/>
      <c r="D14" s="134"/>
      <c r="E14" s="134"/>
      <c r="F14" s="135"/>
      <c r="G14" s="9"/>
      <c r="H14" s="9" t="s">
        <v>3</v>
      </c>
      <c r="I14" s="1"/>
    </row>
    <row r="15" spans="1:9" x14ac:dyDescent="0.35">
      <c r="A15" s="1"/>
      <c r="B15" s="133" t="s">
        <v>190</v>
      </c>
      <c r="C15" s="134"/>
      <c r="D15" s="134"/>
      <c r="E15" s="134"/>
      <c r="F15" s="135"/>
      <c r="G15" s="9"/>
      <c r="H15" s="9" t="s">
        <v>3</v>
      </c>
      <c r="I15" s="1"/>
    </row>
    <row r="16" spans="1:9" x14ac:dyDescent="0.35">
      <c r="A16" s="1"/>
      <c r="B16" s="133" t="s">
        <v>191</v>
      </c>
      <c r="C16" s="134"/>
      <c r="D16" s="134"/>
      <c r="E16" s="134"/>
      <c r="F16" s="135"/>
      <c r="G16" s="9"/>
      <c r="H16" s="9" t="s">
        <v>3</v>
      </c>
      <c r="I16" s="1"/>
    </row>
    <row r="17" spans="1:9" x14ac:dyDescent="0.35">
      <c r="A17" s="1"/>
      <c r="B17" s="133" t="s">
        <v>192</v>
      </c>
      <c r="C17" s="134"/>
      <c r="D17" s="134"/>
      <c r="E17" s="134"/>
      <c r="F17" s="135"/>
      <c r="G17" s="9"/>
      <c r="H17" s="9" t="s">
        <v>3</v>
      </c>
      <c r="I17" s="1"/>
    </row>
    <row r="18" spans="1:9" x14ac:dyDescent="0.35">
      <c r="A18" s="1"/>
      <c r="B18" s="105" t="s">
        <v>193</v>
      </c>
      <c r="C18" s="106"/>
      <c r="D18" s="106"/>
      <c r="E18" s="106"/>
      <c r="F18" s="107"/>
      <c r="G18" s="12">
        <f>SUM(G10:G17)</f>
        <v>0</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kLXwy4p7vK8kZBEF2COcxFDx6cHnhyeymOMzAIQc14R8GwA0IwkZE5t1izjubw4LspOItC04bTyPe/yEQ4Ta4g==" saltValue="Pyzb8028ysJT5MCfDoFu5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796875" defaultRowHeight="14.5" x14ac:dyDescent="0.35"/>
  <cols>
    <col min="1" max="1" width="3.81640625" style="2" customWidth="1"/>
    <col min="2" max="2" width="21.1796875" style="2" customWidth="1"/>
    <col min="3" max="3" width="7.26953125" style="2" customWidth="1"/>
    <col min="4" max="4" width="9.453125" style="2" customWidth="1"/>
    <col min="5" max="5" width="2.7265625" style="2" customWidth="1"/>
    <col min="6" max="6" width="10" style="2" customWidth="1"/>
    <col min="7" max="7" width="2.7265625" style="2" customWidth="1"/>
    <col min="8" max="8" width="10" style="2" customWidth="1"/>
    <col min="9" max="9" width="2.7265625" style="2" customWidth="1"/>
    <col min="10" max="10" width="10" style="2" customWidth="1"/>
    <col min="11" max="11" width="3" style="2" customWidth="1"/>
    <col min="12" max="12" width="3.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95" t="s">
        <v>177</v>
      </c>
      <c r="C3" s="95"/>
      <c r="D3" s="95"/>
      <c r="E3" s="95"/>
      <c r="F3" s="95"/>
      <c r="G3" s="95"/>
      <c r="H3" s="95"/>
      <c r="I3" s="95"/>
      <c r="J3" s="95"/>
      <c r="K3" s="95"/>
      <c r="L3" s="1"/>
    </row>
    <row r="4" spans="1:12" ht="15" customHeight="1" x14ac:dyDescent="0.35">
      <c r="A4" s="1"/>
      <c r="B4" s="95"/>
      <c r="C4" s="95"/>
      <c r="D4" s="95"/>
      <c r="E4" s="95"/>
      <c r="F4" s="95"/>
      <c r="G4" s="95"/>
      <c r="H4" s="95"/>
      <c r="I4" s="95"/>
      <c r="J4" s="95"/>
      <c r="K4" s="95"/>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05" t="s">
        <v>155</v>
      </c>
      <c r="C8" s="106"/>
      <c r="D8" s="106"/>
      <c r="E8" s="106"/>
      <c r="F8" s="106"/>
      <c r="G8" s="106"/>
      <c r="H8" s="106"/>
      <c r="I8" s="106"/>
      <c r="J8" s="106"/>
      <c r="K8" s="107"/>
      <c r="L8" s="1"/>
    </row>
    <row r="9" spans="1:12" ht="39.75" customHeight="1" x14ac:dyDescent="0.35">
      <c r="A9" s="1"/>
      <c r="B9" s="18" t="s">
        <v>0</v>
      </c>
      <c r="C9" s="18" t="s">
        <v>1</v>
      </c>
      <c r="D9" s="136" t="s">
        <v>170</v>
      </c>
      <c r="E9" s="137"/>
      <c r="F9" s="136" t="s">
        <v>2</v>
      </c>
      <c r="G9" s="137"/>
      <c r="H9" s="136" t="s">
        <v>171</v>
      </c>
      <c r="I9" s="137"/>
      <c r="J9" s="136" t="s">
        <v>26</v>
      </c>
      <c r="K9" s="137"/>
      <c r="L9" s="1"/>
    </row>
    <row r="10" spans="1:12" x14ac:dyDescent="0.35">
      <c r="A10" s="1"/>
      <c r="B10" s="76" t="s">
        <v>238</v>
      </c>
      <c r="C10" s="31">
        <v>0</v>
      </c>
      <c r="D10" s="9">
        <v>0</v>
      </c>
      <c r="E10" s="14" t="s">
        <v>3</v>
      </c>
      <c r="F10" s="55">
        <f>IFERROR(D10/C10,0)</f>
        <v>0</v>
      </c>
      <c r="G10" s="14" t="s">
        <v>3</v>
      </c>
      <c r="H10" s="9">
        <v>0</v>
      </c>
      <c r="I10" s="14" t="s">
        <v>3</v>
      </c>
      <c r="J10" s="9">
        <v>0</v>
      </c>
      <c r="K10" s="14" t="s">
        <v>3</v>
      </c>
      <c r="L10" s="1"/>
    </row>
    <row r="11" spans="1:12" x14ac:dyDescent="0.35">
      <c r="A11" s="1"/>
      <c r="B11" s="51" t="s">
        <v>215</v>
      </c>
      <c r="C11" s="52"/>
      <c r="D11" s="19"/>
      <c r="E11" s="65"/>
      <c r="F11" s="12">
        <f>SUM(F10:F10)</f>
        <v>0</v>
      </c>
      <c r="G11" s="13" t="s">
        <v>3</v>
      </c>
      <c r="H11" s="12">
        <f>SUM(H10:H10)</f>
        <v>0</v>
      </c>
      <c r="I11" s="13" t="s">
        <v>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44"/>
      <c r="B43" s="44"/>
      <c r="C43" s="44"/>
      <c r="D43" s="44"/>
      <c r="E43" s="44"/>
      <c r="F43" s="44"/>
      <c r="G43" s="44"/>
      <c r="H43" s="44"/>
      <c r="I43" s="44"/>
      <c r="J43" s="44"/>
      <c r="K43" s="44"/>
      <c r="L43" s="44"/>
    </row>
    <row r="44" spans="1:12" x14ac:dyDescent="0.35">
      <c r="A44" s="44"/>
      <c r="B44" s="44"/>
      <c r="C44" s="44"/>
      <c r="D44" s="44"/>
      <c r="E44" s="44"/>
      <c r="F44" s="44"/>
      <c r="G44" s="44"/>
      <c r="H44" s="44"/>
      <c r="I44" s="44"/>
      <c r="J44" s="44"/>
      <c r="K44" s="44"/>
      <c r="L44" s="44"/>
    </row>
    <row r="45" spans="1:12" x14ac:dyDescent="0.35">
      <c r="A45" s="44"/>
      <c r="B45" s="44"/>
      <c r="C45" s="44"/>
      <c r="D45" s="44"/>
      <c r="E45" s="44"/>
      <c r="F45" s="44"/>
      <c r="G45" s="44"/>
      <c r="H45" s="44"/>
      <c r="I45" s="44"/>
      <c r="J45" s="44"/>
      <c r="K45" s="44"/>
      <c r="L45" s="44"/>
    </row>
    <row r="46" spans="1:12" x14ac:dyDescent="0.35">
      <c r="A46" s="44"/>
      <c r="B46" s="44"/>
      <c r="C46" s="44"/>
      <c r="D46" s="44"/>
      <c r="E46" s="44"/>
      <c r="F46" s="44"/>
      <c r="G46" s="44"/>
      <c r="H46" s="44"/>
      <c r="I46" s="44"/>
      <c r="J46" s="44"/>
      <c r="K46" s="44"/>
      <c r="L46" s="44"/>
    </row>
  </sheetData>
  <sheetProtection algorithmName="SHA-512" hashValue="oWh4DjJFZf380N6q3E9j1jwWJAc6SdR1uOhOsiUPFYQG7XcBxkzlQxrZ8Pg9VPUg2ryE5STOCpU+GSB+2ADVWg==" saltValue="E3GhsWfPwpBGqodZmZ0VL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178</v>
      </c>
      <c r="C3" s="95"/>
      <c r="D3" s="95"/>
      <c r="E3" s="95"/>
      <c r="F3" s="95"/>
      <c r="G3" s="1"/>
    </row>
    <row r="4" spans="1:7" ht="1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51" t="s">
        <v>70</v>
      </c>
      <c r="C8" s="52"/>
      <c r="D8" s="52"/>
      <c r="E8" s="52"/>
      <c r="F8" s="19"/>
      <c r="G8" s="1"/>
    </row>
    <row r="9" spans="1:7" ht="17.25" customHeight="1" x14ac:dyDescent="0.35">
      <c r="A9" s="1"/>
      <c r="B9" s="74" t="s">
        <v>15</v>
      </c>
      <c r="C9" s="74" t="s">
        <v>10</v>
      </c>
      <c r="D9" s="75"/>
      <c r="E9" s="74" t="s">
        <v>27</v>
      </c>
      <c r="F9" s="30"/>
      <c r="G9" s="1"/>
    </row>
    <row r="10" spans="1:7" x14ac:dyDescent="0.35">
      <c r="A10" s="1"/>
      <c r="B10" s="23" t="s">
        <v>161</v>
      </c>
      <c r="C10" s="21">
        <f>'Fane 9. Anlægsprojekter (§ 19) '!H11</f>
        <v>0</v>
      </c>
      <c r="D10" s="14" t="s">
        <v>3</v>
      </c>
      <c r="E10" s="9">
        <f>'Fane 9. Anlægsprojekter (§ 19) '!F11+'Fane 9. Anlægsprojekter (§ 19) '!J11</f>
        <v>0</v>
      </c>
      <c r="F10" s="14" t="s">
        <v>3</v>
      </c>
      <c r="G10" s="1"/>
    </row>
    <row r="11" spans="1:7" x14ac:dyDescent="0.35">
      <c r="A11" s="1"/>
      <c r="B11" s="27"/>
      <c r="C11" s="21"/>
      <c r="D11" s="14" t="s">
        <v>3</v>
      </c>
      <c r="E11" s="9"/>
      <c r="F11" s="14" t="s">
        <v>3</v>
      </c>
      <c r="G11" s="1"/>
    </row>
    <row r="12" spans="1:7" x14ac:dyDescent="0.35">
      <c r="A12" s="1"/>
      <c r="B12" s="27"/>
      <c r="C12" s="21"/>
      <c r="D12" s="14" t="s">
        <v>3</v>
      </c>
      <c r="E12" s="9"/>
      <c r="F12" s="14" t="s">
        <v>3</v>
      </c>
      <c r="G12" s="1"/>
    </row>
    <row r="13" spans="1:7" x14ac:dyDescent="0.35">
      <c r="A13" s="1"/>
      <c r="B13" s="27"/>
      <c r="C13" s="21"/>
      <c r="D13" s="14" t="s">
        <v>3</v>
      </c>
      <c r="E13" s="9"/>
      <c r="F13" s="14" t="s">
        <v>3</v>
      </c>
      <c r="G13" s="1"/>
    </row>
    <row r="14" spans="1:7" x14ac:dyDescent="0.35">
      <c r="A14" s="1"/>
      <c r="B14" s="27"/>
      <c r="C14" s="21"/>
      <c r="D14" s="14" t="s">
        <v>3</v>
      </c>
      <c r="E14" s="9"/>
      <c r="F14" s="14" t="s">
        <v>3</v>
      </c>
      <c r="G14" s="1"/>
    </row>
    <row r="15" spans="1:7" x14ac:dyDescent="0.35">
      <c r="A15" s="1"/>
      <c r="B15" s="27"/>
      <c r="C15" s="21"/>
      <c r="D15" s="14" t="s">
        <v>3</v>
      </c>
      <c r="E15" s="9"/>
      <c r="F15" s="14" t="s">
        <v>3</v>
      </c>
      <c r="G15" s="1"/>
    </row>
    <row r="16" spans="1:7" x14ac:dyDescent="0.35">
      <c r="A16" s="1"/>
      <c r="B16" s="27"/>
      <c r="C16" s="21"/>
      <c r="D16" s="14" t="s">
        <v>3</v>
      </c>
      <c r="E16" s="9"/>
      <c r="F16" s="14" t="s">
        <v>3</v>
      </c>
      <c r="G16" s="1"/>
    </row>
    <row r="17" spans="1:7" x14ac:dyDescent="0.35">
      <c r="A17" s="1"/>
      <c r="B17" s="51" t="s">
        <v>151</v>
      </c>
      <c r="C17" s="12">
        <f>SUM(C10:C16)</f>
        <v>0</v>
      </c>
      <c r="D17" s="13" t="s">
        <v>3</v>
      </c>
      <c r="E17" s="12">
        <f>SUM(E10:E16)</f>
        <v>0</v>
      </c>
      <c r="F17" s="13" t="s">
        <v>3</v>
      </c>
      <c r="G17" s="1"/>
    </row>
    <row r="18" spans="1:7" x14ac:dyDescent="0.35">
      <c r="A18" s="1"/>
      <c r="B18" s="51" t="s">
        <v>209</v>
      </c>
      <c r="C18" s="12">
        <f>C17*(1+'Fane 13. Nøgletal'!C16)</f>
        <v>0</v>
      </c>
      <c r="D18" s="13" t="s">
        <v>3</v>
      </c>
      <c r="E18" s="12">
        <f>E17*(1+'Fane 13. Nøgletal'!C16)</f>
        <v>0</v>
      </c>
      <c r="F18" s="13" t="s">
        <v>3</v>
      </c>
      <c r="G18" s="1"/>
    </row>
    <row r="19" spans="1:7" x14ac:dyDescent="0.35">
      <c r="A19" s="1"/>
      <c r="B19" s="1"/>
      <c r="C19" s="1" t="s">
        <v>168</v>
      </c>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row r="51" spans="1:7" x14ac:dyDescent="0.35">
      <c r="A51" s="44"/>
      <c r="B51" s="44"/>
      <c r="C51" s="44"/>
      <c r="D51" s="44"/>
      <c r="E51" s="44"/>
      <c r="F51" s="44"/>
      <c r="G51" s="44"/>
    </row>
    <row r="52" spans="1:7" x14ac:dyDescent="0.35">
      <c r="A52" s="44"/>
      <c r="B52" s="44"/>
      <c r="C52" s="44"/>
      <c r="D52" s="44"/>
      <c r="E52" s="44"/>
      <c r="F52" s="44"/>
      <c r="G52" s="44"/>
    </row>
    <row r="53" spans="1:7" x14ac:dyDescent="0.35">
      <c r="A53" s="44"/>
      <c r="B53" s="44"/>
      <c r="C53" s="44"/>
      <c r="D53" s="44"/>
      <c r="E53" s="44"/>
      <c r="F53" s="44"/>
      <c r="G53" s="44"/>
    </row>
    <row r="54" spans="1:7" x14ac:dyDescent="0.35">
      <c r="A54" s="44"/>
      <c r="B54" s="44"/>
      <c r="C54" s="44"/>
      <c r="D54" s="44"/>
      <c r="E54" s="44"/>
      <c r="F54" s="44"/>
      <c r="G54" s="44"/>
    </row>
    <row r="55" spans="1:7" x14ac:dyDescent="0.35">
      <c r="A55" s="44"/>
      <c r="B55" s="44"/>
      <c r="C55" s="44"/>
      <c r="D55" s="44"/>
      <c r="E55" s="44"/>
      <c r="F55" s="44"/>
      <c r="G55" s="44"/>
    </row>
    <row r="56" spans="1:7" x14ac:dyDescent="0.35">
      <c r="A56" s="44"/>
      <c r="B56" s="44"/>
      <c r="C56" s="44"/>
      <c r="D56" s="44"/>
      <c r="E56" s="44"/>
      <c r="F56" s="44"/>
      <c r="G56" s="44"/>
    </row>
    <row r="57" spans="1:7" x14ac:dyDescent="0.35">
      <c r="A57" s="44"/>
      <c r="B57" s="44"/>
      <c r="C57" s="44"/>
      <c r="D57" s="44"/>
      <c r="E57" s="44"/>
      <c r="F57" s="44"/>
      <c r="G57" s="44"/>
    </row>
  </sheetData>
  <sheetProtection algorithmName="SHA-512" hashValue="p8QYiMKsyp0mjPACxk3yhtJPjCXdjSTA5hM5cxF4kFYjL03UYUMWzaT4ZwIN6bIfshJ2ghPFLKPBYZ+r/6Akpw==" saltValue="kjIE+TG83lLWBZLypDSvn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7.26953125" style="2" customWidth="1"/>
    <col min="4" max="4" width="3.26953125" style="2" customWidth="1"/>
    <col min="5" max="5" width="17.26953125" style="2" customWidth="1"/>
    <col min="6" max="6" width="3.26953125" style="2" customWidth="1"/>
    <col min="7" max="7" width="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5" t="s">
        <v>179</v>
      </c>
      <c r="C3" s="95"/>
      <c r="D3" s="95"/>
      <c r="E3" s="95"/>
      <c r="F3" s="95"/>
      <c r="G3" s="1"/>
    </row>
    <row r="4" spans="1:7" ht="15" customHeight="1" x14ac:dyDescent="0.35">
      <c r="A4" s="1"/>
      <c r="B4" s="95"/>
      <c r="C4" s="95"/>
      <c r="D4" s="95"/>
      <c r="E4" s="95"/>
      <c r="F4" s="9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x14ac:dyDescent="0.35">
      <c r="A9" s="1"/>
      <c r="B9" s="105" t="s">
        <v>217</v>
      </c>
      <c r="C9" s="106"/>
      <c r="D9" s="106"/>
      <c r="E9" s="106"/>
      <c r="F9" s="107"/>
      <c r="G9" s="1"/>
    </row>
    <row r="10" spans="1:7" x14ac:dyDescent="0.35">
      <c r="A10" s="1"/>
      <c r="B10" s="74" t="s">
        <v>15</v>
      </c>
      <c r="C10" s="74" t="s">
        <v>10</v>
      </c>
      <c r="D10" s="75"/>
      <c r="E10" s="74" t="s">
        <v>27</v>
      </c>
      <c r="F10" s="30"/>
      <c r="G10" s="1"/>
    </row>
    <row r="11" spans="1:7" x14ac:dyDescent="0.35">
      <c r="A11" s="1"/>
      <c r="B11" s="23" t="s">
        <v>247</v>
      </c>
      <c r="C11" s="21">
        <v>0</v>
      </c>
      <c r="D11" s="14" t="s">
        <v>3</v>
      </c>
      <c r="E11" s="9">
        <v>0</v>
      </c>
      <c r="F11" s="14" t="s">
        <v>3</v>
      </c>
      <c r="G11" s="1"/>
    </row>
    <row r="12" spans="1:7" x14ac:dyDescent="0.35">
      <c r="A12" s="1"/>
      <c r="B12" s="23"/>
      <c r="C12" s="21"/>
      <c r="D12" s="14" t="s">
        <v>3</v>
      </c>
      <c r="E12" s="9"/>
      <c r="F12" s="14" t="s">
        <v>3</v>
      </c>
      <c r="G12" s="1"/>
    </row>
    <row r="13" spans="1:7" x14ac:dyDescent="0.35">
      <c r="A13" s="1"/>
      <c r="B13" s="23"/>
      <c r="C13" s="21"/>
      <c r="D13" s="14" t="s">
        <v>3</v>
      </c>
      <c r="E13" s="9"/>
      <c r="F13" s="14" t="s">
        <v>3</v>
      </c>
      <c r="G13" s="1"/>
    </row>
    <row r="14" spans="1:7" x14ac:dyDescent="0.35">
      <c r="A14" s="1"/>
      <c r="B14" s="51" t="s">
        <v>218</v>
      </c>
      <c r="C14" s="12">
        <f>SUM(C11:C13)</f>
        <v>0</v>
      </c>
      <c r="D14" s="13" t="s">
        <v>3</v>
      </c>
      <c r="E14" s="12">
        <f>SUM(E11:E13)</f>
        <v>0</v>
      </c>
      <c r="F14" s="13" t="s">
        <v>3</v>
      </c>
      <c r="G14" s="1"/>
    </row>
    <row r="15" spans="1:7" x14ac:dyDescent="0.35">
      <c r="A15" s="1"/>
      <c r="B15" s="51" t="s">
        <v>219</v>
      </c>
      <c r="C15" s="12">
        <f>C14*(1+'Fane 13. Nøgletal'!$C$16)^2</f>
        <v>0</v>
      </c>
      <c r="D15" s="13" t="s">
        <v>3</v>
      </c>
      <c r="E15" s="12">
        <f>E14*(1+'Fane 13. Nøgletal'!$C$16)^2</f>
        <v>0</v>
      </c>
      <c r="F15" s="13" t="s">
        <v>3</v>
      </c>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ht="18" customHeight="1"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hH0/tXr7hM/9nyOiS8hTX8rO/066OrNteqA+6UTky9bdNRptlqcnewxcoRpJnIGzZc5w01BYNyHj7mJ1d1WwXA==" saltValue="+f/lB0DuNugpzRdMNtPOT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796875" defaultRowHeight="14.5" x14ac:dyDescent="0.35"/>
  <cols>
    <col min="1" max="1" width="5.453125" style="2" customWidth="1"/>
    <col min="2" max="2" width="41.1796875" style="2" bestFit="1" customWidth="1"/>
    <col min="3" max="3" width="13.81640625" style="2" customWidth="1"/>
    <col min="4" max="4" width="3.26953125" style="2" customWidth="1"/>
    <col min="5" max="5" width="13.8164062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8" t="s">
        <v>180</v>
      </c>
      <c r="C3" s="98"/>
      <c r="D3" s="98"/>
      <c r="E3" s="98"/>
      <c r="F3" s="98"/>
      <c r="G3" s="1"/>
    </row>
    <row r="4" spans="1:7" ht="25.5" customHeight="1" x14ac:dyDescent="0.35">
      <c r="A4" s="1"/>
      <c r="B4" s="98"/>
      <c r="C4" s="98"/>
      <c r="D4" s="98"/>
      <c r="E4" s="98"/>
      <c r="F4" s="9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05" t="s">
        <v>104</v>
      </c>
      <c r="C8" s="106"/>
      <c r="D8" s="106"/>
      <c r="E8" s="106"/>
      <c r="F8" s="107"/>
      <c r="G8" s="1"/>
    </row>
    <row r="9" spans="1:7" ht="15" customHeight="1" x14ac:dyDescent="0.35">
      <c r="A9" s="1"/>
      <c r="B9" s="53" t="s">
        <v>105</v>
      </c>
      <c r="C9" s="130" t="s">
        <v>10</v>
      </c>
      <c r="D9" s="132"/>
      <c r="E9" s="130" t="s">
        <v>27</v>
      </c>
      <c r="F9" s="132"/>
      <c r="G9" s="1"/>
    </row>
    <row r="10" spans="1:7" x14ac:dyDescent="0.35">
      <c r="A10" s="1"/>
      <c r="B10" s="57" t="s">
        <v>241</v>
      </c>
      <c r="C10" s="9">
        <v>0</v>
      </c>
      <c r="D10" s="14" t="s">
        <v>3</v>
      </c>
      <c r="E10" s="9">
        <v>0</v>
      </c>
      <c r="F10" s="14" t="s">
        <v>3</v>
      </c>
      <c r="G10" s="1"/>
    </row>
    <row r="11" spans="1:7" x14ac:dyDescent="0.35">
      <c r="A11" s="1"/>
      <c r="B11" s="23"/>
      <c r="C11" s="9"/>
      <c r="D11" s="14" t="s">
        <v>3</v>
      </c>
      <c r="E11" s="9"/>
      <c r="F11" s="14" t="s">
        <v>3</v>
      </c>
      <c r="G11" s="1"/>
    </row>
    <row r="12" spans="1:7" x14ac:dyDescent="0.35">
      <c r="A12" s="1"/>
      <c r="B12" s="23"/>
      <c r="C12" s="9"/>
      <c r="D12" s="14" t="s">
        <v>3</v>
      </c>
      <c r="E12" s="9"/>
      <c r="F12" s="14" t="s">
        <v>3</v>
      </c>
      <c r="G12" s="1"/>
    </row>
    <row r="13" spans="1:7" ht="28.5" customHeight="1" x14ac:dyDescent="0.35">
      <c r="A13" s="1"/>
      <c r="B13" s="20" t="s">
        <v>152</v>
      </c>
      <c r="C13" s="12">
        <f>SUM(C10:C12)</f>
        <v>0</v>
      </c>
      <c r="D13" s="13" t="s">
        <v>3</v>
      </c>
      <c r="E13" s="12">
        <f>SUM(E10:E12)</f>
        <v>0</v>
      </c>
      <c r="F13" s="13" t="s">
        <v>3</v>
      </c>
      <c r="G13" s="1"/>
    </row>
    <row r="14" spans="1:7" ht="27" customHeight="1" x14ac:dyDescent="0.35">
      <c r="A14" s="1"/>
      <c r="B14" s="20" t="s">
        <v>216</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R2B8jvtShdpriNhkuiHyH2Sd5c2nI9W9ycO2ZlaCArbF/n8rrq6DxfbgmTfCcVEpXmWGOEayd+92jQuPR4I09A==" saltValue="b9qH2xaqzRYQQCnxcOtlw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26953125" style="2" customWidth="1"/>
    <col min="3" max="3" width="17.1796875" style="2" customWidth="1"/>
    <col min="4" max="4" width="3.26953125" style="2" customWidth="1"/>
    <col min="5" max="5" width="17.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98" t="s">
        <v>181</v>
      </c>
      <c r="C3" s="98"/>
      <c r="D3" s="98"/>
      <c r="E3" s="98"/>
      <c r="F3" s="98"/>
      <c r="G3" s="1"/>
    </row>
    <row r="4" spans="1:7" ht="25.5" customHeight="1" x14ac:dyDescent="0.35">
      <c r="A4" s="1"/>
      <c r="B4" s="98"/>
      <c r="C4" s="98"/>
      <c r="D4" s="98"/>
      <c r="E4" s="98"/>
      <c r="F4" s="98"/>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
      <c r="C9" s="1"/>
      <c r="D9" s="1"/>
      <c r="E9" s="1"/>
      <c r="F9" s="1"/>
      <c r="G9" s="1"/>
    </row>
    <row r="10" spans="1:7" x14ac:dyDescent="0.35">
      <c r="A10" s="1"/>
      <c r="B10" s="105" t="s">
        <v>237</v>
      </c>
      <c r="C10" s="106"/>
      <c r="D10" s="106"/>
      <c r="E10" s="106"/>
      <c r="F10" s="107"/>
      <c r="G10" s="1"/>
    </row>
    <row r="11" spans="1:7" x14ac:dyDescent="0.35">
      <c r="A11" s="1"/>
      <c r="B11" s="53" t="s">
        <v>16</v>
      </c>
      <c r="C11" s="53" t="s">
        <v>10</v>
      </c>
      <c r="D11" s="30"/>
      <c r="E11" s="53" t="s">
        <v>27</v>
      </c>
      <c r="F11" s="30"/>
      <c r="G11" s="1"/>
    </row>
    <row r="12" spans="1:7" x14ac:dyDescent="0.35">
      <c r="A12" s="1"/>
      <c r="B12" s="57" t="s">
        <v>242</v>
      </c>
      <c r="C12" s="9">
        <v>0</v>
      </c>
      <c r="D12" s="14" t="s">
        <v>3</v>
      </c>
      <c r="E12" s="9">
        <v>0</v>
      </c>
      <c r="F12" s="14" t="s">
        <v>3</v>
      </c>
      <c r="G12" s="1"/>
    </row>
    <row r="13" spans="1:7" x14ac:dyDescent="0.35">
      <c r="A13" s="1"/>
      <c r="B13" s="51" t="s">
        <v>78</v>
      </c>
      <c r="C13" s="12">
        <f>SUM(C12:C12)</f>
        <v>0</v>
      </c>
      <c r="D13" s="13" t="s">
        <v>3</v>
      </c>
      <c r="E13" s="12">
        <f>SUM(E12:E12)</f>
        <v>0</v>
      </c>
      <c r="F13" s="13" t="s">
        <v>3</v>
      </c>
      <c r="G13" s="1"/>
    </row>
    <row r="14" spans="1:7" x14ac:dyDescent="0.35">
      <c r="A14" s="1"/>
      <c r="B14" s="51" t="s">
        <v>233</v>
      </c>
      <c r="C14" s="12">
        <f>C13*(1+'Fane 13. Nøgletal'!C16)</f>
        <v>0</v>
      </c>
      <c r="D14" s="13" t="s">
        <v>3</v>
      </c>
      <c r="E14" s="12">
        <f>E13*(1+'Fane 13.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3pMD7URVD3twkfjiMKrK2uQUV52WHSygdQrziz1RDorJ2lg+75raYwCDFQ0IGaI9VU28HPkGw/Toee6n2A8fxA==" saltValue="GTWmReUxLlAYma6UfAsYzg=="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796875" defaultRowHeight="14.5" x14ac:dyDescent="0.35"/>
  <cols>
    <col min="1" max="1" width="9" style="2" customWidth="1"/>
    <col min="2" max="2" width="56.26953125" style="2" customWidth="1"/>
    <col min="3" max="3" width="6.7265625" style="43" customWidth="1"/>
    <col min="4" max="4" width="9" style="2" customWidth="1"/>
    <col min="5" max="16384" width="9.1796875" style="2"/>
  </cols>
  <sheetData>
    <row r="1" spans="1:4" x14ac:dyDescent="0.35">
      <c r="A1" s="1"/>
      <c r="B1" s="1"/>
      <c r="C1" s="38"/>
      <c r="D1" s="1"/>
    </row>
    <row r="2" spans="1:4" x14ac:dyDescent="0.35">
      <c r="A2" s="1"/>
      <c r="B2" s="1"/>
      <c r="C2" s="38"/>
      <c r="D2" s="1"/>
    </row>
    <row r="3" spans="1:4" ht="15" customHeight="1" x14ac:dyDescent="0.35">
      <c r="A3" s="1"/>
      <c r="B3" s="98" t="s">
        <v>182</v>
      </c>
      <c r="C3" s="98"/>
      <c r="D3" s="1"/>
    </row>
    <row r="4" spans="1:4" ht="25.5" customHeight="1" x14ac:dyDescent="0.35">
      <c r="A4" s="1"/>
      <c r="B4" s="98"/>
      <c r="C4" s="98"/>
      <c r="D4" s="1"/>
    </row>
    <row r="5" spans="1:4" x14ac:dyDescent="0.35">
      <c r="A5" s="1"/>
      <c r="B5" s="1"/>
      <c r="C5" s="38"/>
      <c r="D5" s="1"/>
    </row>
    <row r="6" spans="1:4" x14ac:dyDescent="0.35">
      <c r="A6" s="1"/>
      <c r="B6" s="1"/>
      <c r="C6" s="38"/>
      <c r="D6" s="1"/>
    </row>
    <row r="7" spans="1:4" x14ac:dyDescent="0.35">
      <c r="A7" s="1"/>
      <c r="B7" s="1"/>
      <c r="C7" s="38"/>
      <c r="D7" s="1"/>
    </row>
    <row r="8" spans="1:4" x14ac:dyDescent="0.35">
      <c r="A8" s="1"/>
      <c r="B8" s="51" t="s">
        <v>13</v>
      </c>
      <c r="C8" s="39"/>
      <c r="D8" s="1"/>
    </row>
    <row r="9" spans="1:4" x14ac:dyDescent="0.35">
      <c r="A9" s="1"/>
      <c r="B9" s="69" t="s">
        <v>93</v>
      </c>
      <c r="C9" s="40">
        <v>1.2699999999999999E-2</v>
      </c>
      <c r="D9" s="1"/>
    </row>
    <row r="10" spans="1:4" x14ac:dyDescent="0.35">
      <c r="A10" s="1"/>
      <c r="B10" s="69" t="s">
        <v>21</v>
      </c>
      <c r="C10" s="40">
        <v>1.7500000000000002E-2</v>
      </c>
      <c r="D10" s="1"/>
    </row>
    <row r="11" spans="1:4" x14ac:dyDescent="0.35">
      <c r="A11" s="1"/>
      <c r="B11" s="69" t="s">
        <v>94</v>
      </c>
      <c r="C11" s="40">
        <v>1.6899999999999998E-2</v>
      </c>
      <c r="D11" s="1"/>
    </row>
    <row r="12" spans="1:4" x14ac:dyDescent="0.35">
      <c r="A12" s="1"/>
      <c r="B12" s="25" t="s">
        <v>35</v>
      </c>
      <c r="C12" s="41">
        <v>1.9699999999999999E-2</v>
      </c>
      <c r="D12" s="1"/>
    </row>
    <row r="13" spans="1:4" x14ac:dyDescent="0.35">
      <c r="A13" s="1"/>
      <c r="B13" s="25" t="s">
        <v>110</v>
      </c>
      <c r="C13" s="41">
        <v>1.2200000000000001E-2</v>
      </c>
      <c r="D13" s="1"/>
    </row>
    <row r="14" spans="1:4" x14ac:dyDescent="0.35">
      <c r="A14" s="1"/>
      <c r="B14" s="25" t="s">
        <v>136</v>
      </c>
      <c r="C14" s="42">
        <v>3.3E-3</v>
      </c>
      <c r="D14" s="1"/>
    </row>
    <row r="15" spans="1:4" x14ac:dyDescent="0.35">
      <c r="A15" s="1"/>
      <c r="B15" s="25" t="s">
        <v>153</v>
      </c>
      <c r="C15" s="42">
        <v>3.56E-2</v>
      </c>
      <c r="D15" s="1"/>
    </row>
    <row r="16" spans="1:4" x14ac:dyDescent="0.35">
      <c r="A16" s="1"/>
      <c r="B16" s="50" t="s">
        <v>207</v>
      </c>
      <c r="C16" s="42">
        <v>8.0799999999999997E-2</v>
      </c>
      <c r="D16" s="1"/>
    </row>
    <row r="17" spans="1:4" x14ac:dyDescent="0.35">
      <c r="A17" s="1"/>
      <c r="B17" s="105"/>
      <c r="C17" s="107"/>
      <c r="D17" s="1"/>
    </row>
    <row r="18" spans="1:4" x14ac:dyDescent="0.35">
      <c r="A18" s="1"/>
      <c r="B18" s="1"/>
      <c r="C18" s="38"/>
      <c r="D18" s="1"/>
    </row>
    <row r="19" spans="1:4" x14ac:dyDescent="0.35">
      <c r="A19" s="1"/>
      <c r="B19" s="1"/>
      <c r="C19" s="38"/>
      <c r="D19" s="1"/>
    </row>
    <row r="20" spans="1:4" x14ac:dyDescent="0.35">
      <c r="A20" s="1"/>
      <c r="B20" s="51" t="s">
        <v>81</v>
      </c>
      <c r="C20" s="39"/>
      <c r="D20" s="1"/>
    </row>
    <row r="21" spans="1:4" x14ac:dyDescent="0.35">
      <c r="A21" s="1"/>
      <c r="B21" s="69" t="s">
        <v>95</v>
      </c>
      <c r="C21" s="42">
        <v>9.1000000000000004E-3</v>
      </c>
      <c r="D21" s="1"/>
    </row>
    <row r="22" spans="1:4" x14ac:dyDescent="0.35">
      <c r="A22" s="1"/>
      <c r="B22" s="69" t="s">
        <v>96</v>
      </c>
      <c r="C22" s="42">
        <v>1.77E-2</v>
      </c>
      <c r="D22" s="1"/>
    </row>
    <row r="23" spans="1:4" x14ac:dyDescent="0.35">
      <c r="A23" s="1"/>
      <c r="B23" s="69" t="s">
        <v>97</v>
      </c>
      <c r="C23" s="42">
        <v>8.6999999999999994E-3</v>
      </c>
      <c r="D23" s="1"/>
    </row>
    <row r="24" spans="1:4" x14ac:dyDescent="0.35">
      <c r="A24" s="1"/>
      <c r="B24" s="69" t="s">
        <v>98</v>
      </c>
      <c r="C24" s="42">
        <v>2.8400000000000002E-2</v>
      </c>
      <c r="D24" s="1"/>
    </row>
    <row r="25" spans="1:4" x14ac:dyDescent="0.35">
      <c r="A25" s="1"/>
      <c r="B25" s="69" t="s">
        <v>111</v>
      </c>
      <c r="C25" s="42">
        <v>2.75E-2</v>
      </c>
      <c r="D25" s="1"/>
    </row>
    <row r="26" spans="1:4" x14ac:dyDescent="0.35">
      <c r="A26" s="1"/>
      <c r="B26" s="69" t="s">
        <v>137</v>
      </c>
      <c r="C26" s="42">
        <v>1.4800000000000001E-2</v>
      </c>
      <c r="D26" s="1"/>
    </row>
    <row r="27" spans="1:4" x14ac:dyDescent="0.35">
      <c r="A27" s="1"/>
      <c r="B27" s="25" t="s">
        <v>154</v>
      </c>
      <c r="C27" s="42">
        <v>0</v>
      </c>
      <c r="D27" s="1"/>
    </row>
    <row r="28" spans="1:4" x14ac:dyDescent="0.35">
      <c r="A28" s="1"/>
      <c r="B28" s="50" t="s">
        <v>208</v>
      </c>
      <c r="C28" s="42">
        <v>0</v>
      </c>
      <c r="D28" s="1"/>
    </row>
    <row r="29" spans="1:4" x14ac:dyDescent="0.35">
      <c r="A29" s="1"/>
      <c r="B29" s="51"/>
      <c r="C29" s="39"/>
      <c r="D29" s="1"/>
    </row>
    <row r="30" spans="1:4" x14ac:dyDescent="0.35">
      <c r="A30" s="1"/>
      <c r="B30" s="1"/>
      <c r="C30" s="38"/>
      <c r="D30" s="1"/>
    </row>
    <row r="31" spans="1:4" x14ac:dyDescent="0.35">
      <c r="A31" s="1"/>
      <c r="B31" s="1"/>
      <c r="C31" s="38"/>
      <c r="D31" s="1"/>
    </row>
    <row r="32" spans="1:4" x14ac:dyDescent="0.35">
      <c r="A32" s="1"/>
      <c r="B32" s="51" t="s">
        <v>82</v>
      </c>
      <c r="C32" s="39"/>
      <c r="D32" s="1"/>
    </row>
    <row r="33" spans="1:4" x14ac:dyDescent="0.35">
      <c r="A33" s="1"/>
      <c r="B33" s="69" t="s">
        <v>99</v>
      </c>
      <c r="C33" s="40">
        <v>0.02</v>
      </c>
      <c r="D33" s="1"/>
    </row>
    <row r="34" spans="1:4" x14ac:dyDescent="0.35">
      <c r="A34" s="1"/>
      <c r="B34" s="51"/>
      <c r="C34" s="39"/>
      <c r="D34" s="1"/>
    </row>
    <row r="35" spans="1:4" x14ac:dyDescent="0.35">
      <c r="A35" s="1"/>
      <c r="B35" s="1"/>
      <c r="C35" s="38"/>
      <c r="D35" s="1"/>
    </row>
    <row r="36" spans="1:4" x14ac:dyDescent="0.35">
      <c r="A36" s="1"/>
      <c r="B36" s="1"/>
      <c r="C36" s="38"/>
      <c r="D36" s="1"/>
    </row>
    <row r="37" spans="1:4" x14ac:dyDescent="0.35">
      <c r="A37" s="1"/>
      <c r="B37" s="1"/>
      <c r="C37" s="38"/>
      <c r="D37" s="1"/>
    </row>
    <row r="38" spans="1:4" x14ac:dyDescent="0.35">
      <c r="A38" s="1"/>
      <c r="B38" s="1"/>
      <c r="C38" s="38"/>
      <c r="D38" s="1"/>
    </row>
    <row r="39" spans="1:4" x14ac:dyDescent="0.35">
      <c r="A39" s="1"/>
      <c r="B39" s="1"/>
      <c r="C39" s="38"/>
      <c r="D39" s="1"/>
    </row>
    <row r="40" spans="1:4" x14ac:dyDescent="0.35">
      <c r="A40" s="1"/>
      <c r="B40" s="1"/>
      <c r="C40" s="38"/>
      <c r="D40" s="1"/>
    </row>
    <row r="41" spans="1:4" x14ac:dyDescent="0.35">
      <c r="A41" s="1"/>
      <c r="B41" s="1"/>
      <c r="C41" s="38"/>
      <c r="D41" s="1"/>
    </row>
    <row r="42" spans="1:4" x14ac:dyDescent="0.35">
      <c r="A42" s="1"/>
      <c r="B42" s="1"/>
      <c r="C42" s="38"/>
      <c r="D42" s="1"/>
    </row>
    <row r="43" spans="1:4" x14ac:dyDescent="0.35">
      <c r="A43" s="1"/>
      <c r="B43" s="1"/>
      <c r="C43" s="38"/>
      <c r="D43" s="1"/>
    </row>
    <row r="44" spans="1:4" x14ac:dyDescent="0.35">
      <c r="A44" s="1"/>
      <c r="B44" s="1"/>
      <c r="C44" s="38"/>
      <c r="D44" s="1"/>
    </row>
    <row r="45" spans="1:4" x14ac:dyDescent="0.35">
      <c r="A45" s="1"/>
      <c r="B45" s="1"/>
      <c r="C45" s="38"/>
      <c r="D45" s="1"/>
    </row>
    <row r="46" spans="1:4" x14ac:dyDescent="0.35">
      <c r="A46" s="1"/>
      <c r="B46" s="1"/>
      <c r="C46" s="38"/>
      <c r="D46" s="1"/>
    </row>
    <row r="47" spans="1:4" x14ac:dyDescent="0.35">
      <c r="A47" s="1"/>
      <c r="B47" s="1"/>
      <c r="C47" s="38"/>
      <c r="D47" s="1"/>
    </row>
    <row r="48" spans="1:4" x14ac:dyDescent="0.35">
      <c r="A48" s="1"/>
      <c r="B48" s="1"/>
      <c r="C48" s="38"/>
      <c r="D48" s="1"/>
    </row>
    <row r="49" spans="1:4" x14ac:dyDescent="0.35">
      <c r="A49" s="1"/>
      <c r="B49" s="1"/>
      <c r="C49" s="38"/>
      <c r="D49" s="1"/>
    </row>
    <row r="50" spans="1:4" x14ac:dyDescent="0.35">
      <c r="A50" s="44"/>
      <c r="B50" s="44"/>
      <c r="C50" s="46"/>
      <c r="D50" s="44"/>
    </row>
    <row r="51" spans="1:4" x14ac:dyDescent="0.35">
      <c r="A51" s="44"/>
      <c r="B51" s="44"/>
      <c r="C51" s="46"/>
      <c r="D51" s="44"/>
    </row>
    <row r="52" spans="1:4" x14ac:dyDescent="0.35">
      <c r="A52" s="44"/>
      <c r="B52" s="44"/>
      <c r="C52" s="46"/>
      <c r="D52" s="44"/>
    </row>
    <row r="53" spans="1:4" x14ac:dyDescent="0.35">
      <c r="A53" s="44"/>
      <c r="B53" s="44"/>
      <c r="C53" s="46"/>
      <c r="D53" s="44"/>
    </row>
  </sheetData>
  <sheetProtection algorithmName="SHA-512" hashValue="Isq1Ji+4gsNrb3duLsIHXoRi7hWeazBIbEiMhjpxlFmZiZp3gyjXXK2biPZbxF3yAXGy518OQOX6M2vMIN0OHg==" saltValue="TqGpWXBBQc7IlDj5dIwtg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5" t="s">
        <v>198</v>
      </c>
      <c r="C3" s="95"/>
      <c r="D3" s="95"/>
      <c r="E3" s="1"/>
    </row>
    <row r="4" spans="1:5" ht="15" customHeight="1" x14ac:dyDescent="0.35">
      <c r="A4" s="1"/>
      <c r="B4" s="95"/>
      <c r="C4" s="95"/>
      <c r="D4" s="95"/>
      <c r="E4" s="1"/>
    </row>
    <row r="5" spans="1:5" x14ac:dyDescent="0.35">
      <c r="A5" s="1"/>
      <c r="B5" s="1"/>
      <c r="C5" s="1"/>
      <c r="D5" s="1"/>
      <c r="E5" s="1"/>
    </row>
    <row r="6" spans="1:5" x14ac:dyDescent="0.35">
      <c r="A6" s="1"/>
      <c r="B6" s="1"/>
      <c r="C6" s="1"/>
      <c r="D6" s="1"/>
      <c r="E6" s="1"/>
    </row>
    <row r="7" spans="1:5" x14ac:dyDescent="0.35">
      <c r="A7" s="1"/>
      <c r="B7" s="51" t="s">
        <v>12</v>
      </c>
      <c r="C7" s="52"/>
      <c r="D7" s="19"/>
      <c r="E7" s="1"/>
    </row>
    <row r="8" spans="1:5" x14ac:dyDescent="0.35">
      <c r="A8" s="1"/>
      <c r="B8" s="54" t="s">
        <v>109</v>
      </c>
      <c r="C8" s="7">
        <f>'Fane 3. Omkostninger i ØR2023'!C19</f>
        <v>15806000.774666943</v>
      </c>
      <c r="D8" s="8" t="s">
        <v>3</v>
      </c>
      <c r="E8" s="1"/>
    </row>
    <row r="9" spans="1:5" ht="17.149999999999999" customHeight="1" x14ac:dyDescent="0.35">
      <c r="A9" s="1"/>
      <c r="B9" s="24" t="s">
        <v>33</v>
      </c>
      <c r="C9" s="7">
        <f>'Fane 10.1. Varige tillæg'!C18</f>
        <v>0</v>
      </c>
      <c r="D9" s="8" t="s">
        <v>3</v>
      </c>
      <c r="E9" s="1"/>
    </row>
    <row r="10" spans="1:5" ht="17.149999999999999" customHeight="1" x14ac:dyDescent="0.35">
      <c r="A10" s="1"/>
      <c r="B10" s="24" t="s">
        <v>34</v>
      </c>
      <c r="C10" s="9">
        <f>'Fane 10.1. Varige tillæg'!E18</f>
        <v>0</v>
      </c>
      <c r="D10" s="8" t="s">
        <v>3</v>
      </c>
      <c r="E10" s="1"/>
    </row>
    <row r="11" spans="1:5" ht="17.149999999999999" customHeight="1" x14ac:dyDescent="0.35">
      <c r="A11" s="1"/>
      <c r="B11" s="24" t="s">
        <v>25</v>
      </c>
      <c r="C11" s="9">
        <f>-'Fane 12. Bortfald'!C14</f>
        <v>0</v>
      </c>
      <c r="D11" s="8" t="s">
        <v>3</v>
      </c>
      <c r="E11" s="1"/>
    </row>
    <row r="12" spans="1:5" ht="17.149999999999999" customHeight="1" x14ac:dyDescent="0.35">
      <c r="A12" s="1"/>
      <c r="B12" s="24" t="s">
        <v>24</v>
      </c>
      <c r="C12" s="9">
        <f>-'Fane 12. Bortfald'!E14</f>
        <v>0</v>
      </c>
      <c r="D12" s="8" t="s">
        <v>3</v>
      </c>
      <c r="E12" s="1"/>
    </row>
    <row r="13" spans="1:5" ht="17.149999999999999" customHeight="1" x14ac:dyDescent="0.35">
      <c r="A13" s="1"/>
      <c r="B13" s="24" t="s">
        <v>106</v>
      </c>
      <c r="C13" s="9">
        <f>'Fane 11. Tilknyttet virksomhed'!C14</f>
        <v>0</v>
      </c>
      <c r="D13" s="8" t="s">
        <v>3</v>
      </c>
      <c r="E13" s="1"/>
    </row>
    <row r="14" spans="1:5" ht="17.149999999999999" customHeight="1" x14ac:dyDescent="0.35">
      <c r="A14" s="1"/>
      <c r="B14" s="24" t="s">
        <v>107</v>
      </c>
      <c r="C14" s="9">
        <f>'Fane 11. Tilknyttet virksomhed'!E14</f>
        <v>0</v>
      </c>
      <c r="D14" s="8" t="s">
        <v>3</v>
      </c>
      <c r="E14" s="1"/>
    </row>
    <row r="15" spans="1:5" ht="17.149999999999999" customHeight="1" x14ac:dyDescent="0.35">
      <c r="A15" s="1"/>
      <c r="B15" s="24" t="s">
        <v>17</v>
      </c>
      <c r="C15" s="9">
        <f>C8*'Fane 13. Nøgletal'!C15+SUM(C9:C14)*'Fane 13. Nøgletal'!C16</f>
        <v>562693.62757814315</v>
      </c>
      <c r="D15" s="8" t="s">
        <v>3</v>
      </c>
      <c r="E15" s="1"/>
    </row>
    <row r="16" spans="1:5" ht="17.149999999999999" customHeight="1" x14ac:dyDescent="0.35">
      <c r="A16" s="1"/>
      <c r="B16" s="24" t="s">
        <v>9</v>
      </c>
      <c r="C16" s="9">
        <f>-SUM(C8,C9:C15)*'Fane 5. Individuelt eff. krav'!G9</f>
        <v>-239885.1878925327</v>
      </c>
      <c r="D16" s="8" t="s">
        <v>3</v>
      </c>
      <c r="E16" s="1"/>
    </row>
    <row r="17" spans="1:5" ht="17.149999999999999" customHeight="1" x14ac:dyDescent="0.35">
      <c r="A17" s="1"/>
      <c r="B17" s="24" t="s">
        <v>22</v>
      </c>
      <c r="C17" s="9">
        <f>-'Fane 4.1. Gen. krav - drift'!G49</f>
        <v>-156527.47164095464</v>
      </c>
      <c r="D17" s="8" t="s">
        <v>3</v>
      </c>
      <c r="E17" s="1"/>
    </row>
    <row r="18" spans="1:5" ht="17.149999999999999" customHeight="1" x14ac:dyDescent="0.35">
      <c r="A18" s="1"/>
      <c r="B18" s="24" t="s">
        <v>23</v>
      </c>
      <c r="C18" s="9">
        <f>-'Fane 4.2. Gen. krav - anlæg'!G49</f>
        <v>0</v>
      </c>
      <c r="D18" s="8" t="s">
        <v>3</v>
      </c>
      <c r="E18" s="1"/>
    </row>
    <row r="19" spans="1:5" ht="17.149999999999999" customHeight="1" x14ac:dyDescent="0.35">
      <c r="A19" s="1"/>
      <c r="B19" s="71" t="s">
        <v>19</v>
      </c>
      <c r="C19" s="10">
        <f>SUM(C8:C18)</f>
        <v>15972281.7427116</v>
      </c>
      <c r="D19" s="11" t="s">
        <v>3</v>
      </c>
      <c r="E19" s="1"/>
    </row>
    <row r="20" spans="1:5" ht="15" customHeight="1" x14ac:dyDescent="0.35">
      <c r="A20" s="1"/>
      <c r="B20" s="51" t="s">
        <v>11</v>
      </c>
      <c r="C20" s="52"/>
      <c r="D20" s="19"/>
      <c r="E20" s="1"/>
    </row>
    <row r="21" spans="1:5" ht="15" customHeight="1" x14ac:dyDescent="0.35">
      <c r="A21" s="1"/>
      <c r="B21" s="53" t="s">
        <v>11</v>
      </c>
      <c r="C21" s="10">
        <f>'Fane 6. Ikke-påvirkelige omk.'!C20</f>
        <v>16586909.207012478</v>
      </c>
      <c r="D21" s="11" t="s">
        <v>3</v>
      </c>
      <c r="E21" s="1"/>
    </row>
    <row r="22" spans="1:5" ht="15" customHeight="1" x14ac:dyDescent="0.35">
      <c r="A22" s="1"/>
      <c r="B22" s="51" t="s">
        <v>75</v>
      </c>
      <c r="C22" s="52"/>
      <c r="D22" s="19"/>
      <c r="E22" s="1"/>
    </row>
    <row r="23" spans="1:5" ht="15" customHeight="1" x14ac:dyDescent="0.35">
      <c r="A23" s="1"/>
      <c r="B23" s="24" t="s">
        <v>71</v>
      </c>
      <c r="C23" s="9">
        <f>'Fane 10.2. Engangstillæg'!C15</f>
        <v>0</v>
      </c>
      <c r="D23" s="8" t="s">
        <v>3</v>
      </c>
      <c r="E23" s="1"/>
    </row>
    <row r="24" spans="1:5" ht="15" customHeight="1" x14ac:dyDescent="0.35">
      <c r="A24" s="1"/>
      <c r="B24" s="24" t="s">
        <v>72</v>
      </c>
      <c r="C24" s="9">
        <f>'Fane 10.2. Engangstillæg'!E15</f>
        <v>0</v>
      </c>
      <c r="D24" s="8" t="s">
        <v>3</v>
      </c>
      <c r="E24" s="1"/>
    </row>
    <row r="25" spans="1:5" ht="15" customHeight="1" x14ac:dyDescent="0.35">
      <c r="A25" s="1"/>
      <c r="B25" s="24" t="s">
        <v>164</v>
      </c>
      <c r="C25" s="9">
        <f>-C23*('Fane 13. Nøgletal'!C33+'Fane 5. Individuelt eff. krav'!G9)</f>
        <v>0</v>
      </c>
      <c r="D25" s="8" t="s">
        <v>3</v>
      </c>
      <c r="E25" s="1"/>
    </row>
    <row r="26" spans="1:5" ht="15" customHeight="1" x14ac:dyDescent="0.35">
      <c r="A26" s="1"/>
      <c r="B26" s="24" t="s">
        <v>165</v>
      </c>
      <c r="C26" s="9">
        <f>-C24*('Fane 13. Nøgletal'!C28+'Fane 5. Individuelt eff. krav'!G9)</f>
        <v>0</v>
      </c>
      <c r="D26" s="8" t="s">
        <v>3</v>
      </c>
      <c r="E26" s="1"/>
    </row>
    <row r="27" spans="1:5" x14ac:dyDescent="0.35">
      <c r="A27" s="1"/>
      <c r="B27" s="71" t="s">
        <v>76</v>
      </c>
      <c r="C27" s="56">
        <f>SUM(C23:C26)</f>
        <v>0</v>
      </c>
      <c r="D27" s="11" t="s">
        <v>3</v>
      </c>
      <c r="E27" s="1"/>
    </row>
    <row r="28" spans="1:5" ht="15" customHeight="1" x14ac:dyDescent="0.35">
      <c r="A28" s="1"/>
      <c r="B28" s="26" t="s">
        <v>117</v>
      </c>
      <c r="C28" s="52"/>
      <c r="D28" s="19"/>
      <c r="E28" s="1"/>
    </row>
    <row r="29" spans="1:5" x14ac:dyDescent="0.35">
      <c r="A29" s="1"/>
      <c r="B29" s="70" t="s">
        <v>118</v>
      </c>
      <c r="C29" s="10">
        <f>'Fane 7. Kontrol af ØR2022'!E27</f>
        <v>0</v>
      </c>
      <c r="D29" s="11" t="s">
        <v>3</v>
      </c>
      <c r="E29" s="1"/>
    </row>
    <row r="30" spans="1:5" x14ac:dyDescent="0.35">
      <c r="A30" s="1"/>
      <c r="B30" s="26" t="s">
        <v>138</v>
      </c>
      <c r="C30" s="52"/>
      <c r="D30" s="19"/>
      <c r="E30" s="1"/>
    </row>
    <row r="31" spans="1:5" x14ac:dyDescent="0.35">
      <c r="A31" s="1"/>
      <c r="B31" s="70" t="s">
        <v>139</v>
      </c>
      <c r="C31" s="10">
        <f>'Fane 8. Skattesagen'!G13</f>
        <v>0</v>
      </c>
      <c r="D31" s="11" t="s">
        <v>3</v>
      </c>
      <c r="E31" s="1"/>
    </row>
    <row r="32" spans="1:5" x14ac:dyDescent="0.35">
      <c r="A32" s="1"/>
      <c r="B32" s="51" t="s">
        <v>126</v>
      </c>
      <c r="C32" s="33">
        <f>SUM(C19,C21,C27,C29,C31)</f>
        <v>32559190.949724078</v>
      </c>
      <c r="D32" s="19" t="s">
        <v>3</v>
      </c>
      <c r="E32" s="1"/>
    </row>
    <row r="33" spans="1:5" x14ac:dyDescent="0.35">
      <c r="A33" s="1"/>
      <c r="B33" s="1" t="s">
        <v>168</v>
      </c>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BGzuxslzfFVvO9+/QRRYJRKdpss8WRlIBK7pjf/pJGw0HT5iFOzy8cMCBqAJb4uqEgMeNkQ+7m2LXeo6aixiEA==" saltValue="DNsEGOvSP5wI7lSg2ps+Q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62.4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5" t="s">
        <v>199</v>
      </c>
      <c r="C3" s="95"/>
      <c r="D3" s="95"/>
      <c r="E3" s="1"/>
    </row>
    <row r="4" spans="1:5" ht="15" customHeight="1" x14ac:dyDescent="0.35">
      <c r="A4" s="1"/>
      <c r="B4" s="95"/>
      <c r="C4" s="95"/>
      <c r="D4" s="95"/>
      <c r="E4" s="1"/>
    </row>
    <row r="5" spans="1:5" x14ac:dyDescent="0.35">
      <c r="A5" s="1"/>
      <c r="B5" s="96" t="s">
        <v>20</v>
      </c>
      <c r="C5" s="96"/>
      <c r="D5" s="96"/>
      <c r="E5" s="1"/>
    </row>
    <row r="6" spans="1:5" x14ac:dyDescent="0.35">
      <c r="A6" s="1"/>
      <c r="B6" s="1"/>
      <c r="C6" s="1"/>
      <c r="D6" s="1"/>
      <c r="E6" s="1"/>
    </row>
    <row r="7" spans="1:5" x14ac:dyDescent="0.35">
      <c r="A7" s="1"/>
      <c r="B7" s="51" t="s">
        <v>12</v>
      </c>
      <c r="C7" s="52"/>
      <c r="D7" s="19"/>
      <c r="E7" s="1"/>
    </row>
    <row r="8" spans="1:5" ht="15" customHeight="1" x14ac:dyDescent="0.35">
      <c r="A8" s="1"/>
      <c r="B8" s="54" t="s">
        <v>127</v>
      </c>
      <c r="C8" s="7">
        <f>'Fane 2.1. Økonomisk ramme 2024'!C19</f>
        <v>15972281.7427116</v>
      </c>
      <c r="D8" s="8" t="s">
        <v>3</v>
      </c>
      <c r="E8" s="1"/>
    </row>
    <row r="9" spans="1:5" ht="15" customHeight="1" x14ac:dyDescent="0.35">
      <c r="A9" s="1"/>
      <c r="B9" s="29" t="s">
        <v>17</v>
      </c>
      <c r="C9" s="9">
        <f>SUM(C8:C8)*'Fane 13. Nøgletal'!C16</f>
        <v>1290560.3648110973</v>
      </c>
      <c r="D9" s="8" t="s">
        <v>3</v>
      </c>
      <c r="E9" s="1"/>
    </row>
    <row r="10" spans="1:5" ht="15" customHeight="1" x14ac:dyDescent="0.35">
      <c r="A10" s="1"/>
      <c r="B10" s="29" t="s">
        <v>9</v>
      </c>
      <c r="C10" s="9">
        <f>-SUM(C8:C9)*'Fane 5. Individuelt eff. krav'!G9</f>
        <v>-252989.03020354666</v>
      </c>
      <c r="D10" s="8" t="s">
        <v>3</v>
      </c>
      <c r="E10" s="1"/>
    </row>
    <row r="11" spans="1:5" ht="15" customHeight="1" x14ac:dyDescent="0.35">
      <c r="A11" s="1"/>
      <c r="B11" s="29" t="s">
        <v>22</v>
      </c>
      <c r="C11" s="9">
        <f>-'Fane 4.1. Gen. krav - drift'!G54</f>
        <v>-165791.39352255288</v>
      </c>
      <c r="D11" s="8" t="s">
        <v>3</v>
      </c>
      <c r="E11" s="1"/>
    </row>
    <row r="12" spans="1:5" ht="15" customHeight="1" x14ac:dyDescent="0.35">
      <c r="A12" s="1"/>
      <c r="B12" s="29" t="s">
        <v>23</v>
      </c>
      <c r="C12" s="9">
        <f>-'Fane 4.2. Gen. krav - anlæg'!G54</f>
        <v>0</v>
      </c>
      <c r="D12" s="8" t="s">
        <v>3</v>
      </c>
      <c r="E12" s="1"/>
    </row>
    <row r="13" spans="1:5" ht="15" customHeight="1" x14ac:dyDescent="0.35">
      <c r="A13" s="1"/>
      <c r="B13" s="32" t="s">
        <v>19</v>
      </c>
      <c r="C13" s="10">
        <f>SUM(C8:C12)</f>
        <v>16844061.683796596</v>
      </c>
      <c r="D13" s="11" t="s">
        <v>3</v>
      </c>
      <c r="E13" s="1"/>
    </row>
    <row r="14" spans="1:5" x14ac:dyDescent="0.35">
      <c r="A14" s="1"/>
      <c r="B14" s="51" t="s">
        <v>11</v>
      </c>
      <c r="C14" s="52"/>
      <c r="D14" s="19"/>
      <c r="E14" s="1"/>
    </row>
    <row r="15" spans="1:5" ht="15" customHeight="1" x14ac:dyDescent="0.35">
      <c r="A15" s="1"/>
      <c r="B15" s="53" t="s">
        <v>11</v>
      </c>
      <c r="C15" s="10">
        <f>'Fane 6. Ikke-påvirkelige omk.'!C20*(1+'Fane 13. Nøgletal'!C16)</f>
        <v>17927131.470939085</v>
      </c>
      <c r="D15" s="11" t="s">
        <v>3</v>
      </c>
      <c r="E15" s="1"/>
    </row>
    <row r="16" spans="1:5" x14ac:dyDescent="0.35">
      <c r="A16" s="1"/>
      <c r="B16" s="26" t="s">
        <v>117</v>
      </c>
      <c r="C16" s="52"/>
      <c r="D16" s="19"/>
      <c r="E16" s="1"/>
    </row>
    <row r="17" spans="1:5" ht="15" customHeight="1" x14ac:dyDescent="0.35">
      <c r="A17" s="1"/>
      <c r="B17" s="70" t="s">
        <v>118</v>
      </c>
      <c r="C17" s="10">
        <f>'Fane 7. Kontrol af ØR2022'!E33</f>
        <v>0</v>
      </c>
      <c r="D17" s="11" t="s">
        <v>3</v>
      </c>
      <c r="E17" s="1"/>
    </row>
    <row r="18" spans="1:5" x14ac:dyDescent="0.35">
      <c r="A18" s="1"/>
      <c r="B18" s="26" t="s">
        <v>138</v>
      </c>
      <c r="C18" s="52"/>
      <c r="D18" s="19"/>
      <c r="E18" s="1"/>
    </row>
    <row r="19" spans="1:5" x14ac:dyDescent="0.35">
      <c r="A19" s="1"/>
      <c r="B19" s="70" t="s">
        <v>139</v>
      </c>
      <c r="C19" s="10">
        <f>'Fane 8. Skattesagen'!G13</f>
        <v>0</v>
      </c>
      <c r="D19" s="11" t="s">
        <v>3</v>
      </c>
      <c r="E19" s="1"/>
    </row>
    <row r="20" spans="1:5" x14ac:dyDescent="0.35">
      <c r="A20" s="1"/>
      <c r="B20" s="51" t="s">
        <v>128</v>
      </c>
      <c r="C20" s="12">
        <f>SUM(C13,C15,C17,C19)</f>
        <v>34771193.154735684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lok5GqL1/+5HUhDjhAvLH54WhHBK5DOjwNLFwgQWqUxtMZzVekHZjRsA5P/8bHkCrdYBWU806l6F1qGfk+KLVA==" saltValue="O97cpOsf91ilPCm/vzMIw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63.2695312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5" t="s">
        <v>200</v>
      </c>
      <c r="C3" s="95"/>
      <c r="D3" s="95"/>
      <c r="E3" s="1"/>
    </row>
    <row r="4" spans="1:5" ht="15" customHeight="1" x14ac:dyDescent="0.35">
      <c r="A4" s="1"/>
      <c r="B4" s="95"/>
      <c r="C4" s="95"/>
      <c r="D4" s="95"/>
      <c r="E4" s="1"/>
    </row>
    <row r="5" spans="1:5" x14ac:dyDescent="0.35">
      <c r="A5" s="1"/>
      <c r="B5" s="96" t="s">
        <v>20</v>
      </c>
      <c r="C5" s="96"/>
      <c r="D5" s="96"/>
      <c r="E5" s="1"/>
    </row>
    <row r="6" spans="1:5" x14ac:dyDescent="0.35">
      <c r="A6" s="1"/>
      <c r="B6" s="1"/>
      <c r="C6" s="1"/>
      <c r="D6" s="1"/>
      <c r="E6" s="1"/>
    </row>
    <row r="7" spans="1:5" x14ac:dyDescent="0.35">
      <c r="A7" s="1"/>
      <c r="B7" s="51" t="s">
        <v>12</v>
      </c>
      <c r="C7" s="52"/>
      <c r="D7" s="19"/>
      <c r="E7" s="1"/>
    </row>
    <row r="8" spans="1:5" ht="15" customHeight="1" x14ac:dyDescent="0.35">
      <c r="A8" s="1"/>
      <c r="B8" s="54" t="s">
        <v>142</v>
      </c>
      <c r="C8" s="7">
        <f>'Fane 2.2. Økonomisk ramme 2025'!C13</f>
        <v>16844061.683796596</v>
      </c>
      <c r="D8" s="8" t="s">
        <v>3</v>
      </c>
      <c r="E8" s="1"/>
    </row>
    <row r="9" spans="1:5" ht="15" customHeight="1" x14ac:dyDescent="0.35">
      <c r="A9" s="1"/>
      <c r="B9" s="29" t="s">
        <v>17</v>
      </c>
      <c r="C9" s="9">
        <f>SUM(C8:C8)*'Fane 13. Nøgletal'!C16</f>
        <v>1361000.1840507649</v>
      </c>
      <c r="D9" s="8" t="s">
        <v>3</v>
      </c>
      <c r="E9" s="1"/>
    </row>
    <row r="10" spans="1:5" ht="15" customHeight="1" x14ac:dyDescent="0.35">
      <c r="A10" s="1"/>
      <c r="B10" s="29" t="s">
        <v>9</v>
      </c>
      <c r="C10" s="9">
        <f>-SUM(C8:C9)*'Fane 5. Individuelt eff. krav'!G9</f>
        <v>-266797.37427102088</v>
      </c>
      <c r="D10" s="8" t="s">
        <v>3</v>
      </c>
      <c r="E10" s="1"/>
    </row>
    <row r="11" spans="1:5" ht="15" customHeight="1" x14ac:dyDescent="0.35">
      <c r="A11" s="1"/>
      <c r="B11" s="29" t="s">
        <v>22</v>
      </c>
      <c r="C11" s="9">
        <f>-'Fane 4.1. Gen. krav - drift'!G59</f>
        <v>-175603.59135679164</v>
      </c>
      <c r="D11" s="8" t="s">
        <v>3</v>
      </c>
      <c r="E11" s="1"/>
    </row>
    <row r="12" spans="1:5" ht="15" customHeight="1" x14ac:dyDescent="0.35">
      <c r="A12" s="1"/>
      <c r="B12" s="29" t="s">
        <v>23</v>
      </c>
      <c r="C12" s="28">
        <f>-'Fane 4.2. Gen. krav - anlæg'!G59</f>
        <v>0</v>
      </c>
      <c r="D12" s="8" t="s">
        <v>3</v>
      </c>
      <c r="E12" s="1"/>
    </row>
    <row r="13" spans="1:5" x14ac:dyDescent="0.35">
      <c r="A13" s="1"/>
      <c r="B13" s="32" t="s">
        <v>19</v>
      </c>
      <c r="C13" s="10">
        <f>SUM(C8:C12)</f>
        <v>17762660.902219549</v>
      </c>
      <c r="D13" s="11" t="s">
        <v>3</v>
      </c>
      <c r="E13" s="1"/>
    </row>
    <row r="14" spans="1:5" x14ac:dyDescent="0.35">
      <c r="A14" s="1"/>
      <c r="B14" s="51" t="s">
        <v>11</v>
      </c>
      <c r="C14" s="52"/>
      <c r="D14" s="19"/>
      <c r="E14" s="1"/>
    </row>
    <row r="15" spans="1:5" ht="15" customHeight="1" x14ac:dyDescent="0.35">
      <c r="A15" s="1"/>
      <c r="B15" s="53" t="s">
        <v>11</v>
      </c>
      <c r="C15" s="10">
        <f>'Fane 6. Ikke-påvirkelige omk.'!C20*(1+'Fane 13. Nøgletal'!C16)^2</f>
        <v>19375643.693790965</v>
      </c>
      <c r="D15" s="11" t="s">
        <v>3</v>
      </c>
      <c r="E15" s="1"/>
    </row>
    <row r="16" spans="1:5" x14ac:dyDescent="0.35">
      <c r="A16" s="1"/>
      <c r="B16" s="51" t="s">
        <v>117</v>
      </c>
      <c r="C16" s="52"/>
      <c r="D16" s="19"/>
      <c r="E16" s="1"/>
    </row>
    <row r="17" spans="1:5" x14ac:dyDescent="0.35">
      <c r="A17" s="1"/>
      <c r="B17" s="53" t="s">
        <v>118</v>
      </c>
      <c r="C17" s="10">
        <f>'Fane 7. Kontrol af ØR2022'!E33</f>
        <v>0</v>
      </c>
      <c r="D17" s="11" t="s">
        <v>3</v>
      </c>
      <c r="E17" s="1"/>
    </row>
    <row r="18" spans="1:5" ht="15" customHeight="1" x14ac:dyDescent="0.35">
      <c r="A18" s="1"/>
      <c r="B18" s="26" t="s">
        <v>138</v>
      </c>
      <c r="C18" s="52"/>
      <c r="D18" s="19"/>
      <c r="E18" s="1"/>
    </row>
    <row r="19" spans="1:5" ht="15" customHeight="1" x14ac:dyDescent="0.35">
      <c r="A19" s="1"/>
      <c r="B19" s="70" t="s">
        <v>139</v>
      </c>
      <c r="C19" s="10">
        <f>'Fane 8. Skattesagen'!G14</f>
        <v>0</v>
      </c>
      <c r="D19" s="11" t="s">
        <v>3</v>
      </c>
      <c r="E19" s="1"/>
    </row>
    <row r="20" spans="1:5" x14ac:dyDescent="0.35">
      <c r="A20" s="1"/>
      <c r="B20" s="51" t="s">
        <v>143</v>
      </c>
      <c r="C20" s="12">
        <f>SUM(C13,C15,C17,C19)</f>
        <v>37138304.596010514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p3NHWfevagmoY3AE1Qe/XJi4BfNDI7ZGzQSSzvn2ejbBrGT4yl/OvWESSrEeNxqrMl9nDKOl+AA+CGy86rUtdg==" saltValue="V1ZqaZVqfPIjBO5poN+Rm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796875" defaultRowHeight="14.5" x14ac:dyDescent="0.35"/>
  <cols>
    <col min="1" max="1" width="5.1796875" style="2" customWidth="1"/>
    <col min="2" max="2" width="63.1796875" style="2" customWidth="1"/>
    <col min="3" max="3" width="10.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95" t="s">
        <v>204</v>
      </c>
      <c r="C3" s="95"/>
      <c r="D3" s="95"/>
      <c r="E3" s="1"/>
    </row>
    <row r="4" spans="1:5" ht="15" customHeight="1" x14ac:dyDescent="0.35">
      <c r="A4" s="1"/>
      <c r="B4" s="95"/>
      <c r="C4" s="95"/>
      <c r="D4" s="95"/>
      <c r="E4" s="1"/>
    </row>
    <row r="5" spans="1:5" x14ac:dyDescent="0.35">
      <c r="A5" s="1"/>
      <c r="B5" s="96" t="s">
        <v>20</v>
      </c>
      <c r="C5" s="96"/>
      <c r="D5" s="96"/>
      <c r="E5" s="1"/>
    </row>
    <row r="6" spans="1:5" x14ac:dyDescent="0.35">
      <c r="A6" s="1"/>
      <c r="B6" s="1"/>
      <c r="C6" s="1"/>
      <c r="D6" s="1"/>
      <c r="E6" s="1"/>
    </row>
    <row r="7" spans="1:5" x14ac:dyDescent="0.35">
      <c r="A7" s="1"/>
      <c r="B7" s="51" t="s">
        <v>12</v>
      </c>
      <c r="C7" s="52"/>
      <c r="D7" s="19"/>
      <c r="E7" s="1"/>
    </row>
    <row r="8" spans="1:5" ht="15" customHeight="1" x14ac:dyDescent="0.35">
      <c r="A8" s="1"/>
      <c r="B8" s="54" t="s">
        <v>203</v>
      </c>
      <c r="C8" s="7">
        <f>'Fane 2.3. Økonomisk ramme 2026'!C13</f>
        <v>17762660.902219549</v>
      </c>
      <c r="D8" s="8" t="s">
        <v>3</v>
      </c>
      <c r="E8" s="1"/>
    </row>
    <row r="9" spans="1:5" ht="15" customHeight="1" x14ac:dyDescent="0.35">
      <c r="A9" s="1"/>
      <c r="B9" s="29" t="s">
        <v>17</v>
      </c>
      <c r="C9" s="9">
        <f>SUM(C8:C8)*'Fane 13. Nøgletal'!C16</f>
        <v>1435223.0008993396</v>
      </c>
      <c r="D9" s="8" t="s">
        <v>3</v>
      </c>
      <c r="E9" s="1"/>
    </row>
    <row r="10" spans="1:5" ht="15" customHeight="1" x14ac:dyDescent="0.35">
      <c r="A10" s="1"/>
      <c r="B10" s="29" t="s">
        <v>9</v>
      </c>
      <c r="C10" s="9">
        <f>-SUM(C8:C9)*'Fane 5. Individuelt eff. krav'!G9</f>
        <v>-281347.30077232397</v>
      </c>
      <c r="D10" s="8" t="s">
        <v>3</v>
      </c>
      <c r="E10" s="1"/>
    </row>
    <row r="11" spans="1:5" ht="15" customHeight="1" x14ac:dyDescent="0.35">
      <c r="A11" s="1"/>
      <c r="B11" s="29" t="s">
        <v>22</v>
      </c>
      <c r="C11" s="9">
        <f>-'Fane 4.1. Gen. krav - drift'!G64</f>
        <v>-185996.51430765196</v>
      </c>
      <c r="D11" s="8" t="s">
        <v>3</v>
      </c>
      <c r="E11" s="1"/>
    </row>
    <row r="12" spans="1:5" ht="15" customHeight="1" x14ac:dyDescent="0.35">
      <c r="A12" s="1"/>
      <c r="B12" s="29" t="s">
        <v>23</v>
      </c>
      <c r="C12" s="9">
        <f>-'Fane 4.2. Gen. krav - anlæg'!G64</f>
        <v>0</v>
      </c>
      <c r="D12" s="8" t="s">
        <v>3</v>
      </c>
      <c r="E12" s="1"/>
    </row>
    <row r="13" spans="1:5" x14ac:dyDescent="0.35">
      <c r="A13" s="1"/>
      <c r="B13" s="32" t="s">
        <v>19</v>
      </c>
      <c r="C13" s="10">
        <f>SUM(C8:C12)</f>
        <v>18730540.088038914</v>
      </c>
      <c r="D13" s="11" t="s">
        <v>3</v>
      </c>
      <c r="E13" s="1"/>
    </row>
    <row r="14" spans="1:5" x14ac:dyDescent="0.35">
      <c r="A14" s="1"/>
      <c r="B14" s="51" t="s">
        <v>11</v>
      </c>
      <c r="C14" s="52"/>
      <c r="D14" s="19"/>
      <c r="E14" s="1"/>
    </row>
    <row r="15" spans="1:5" ht="15" customHeight="1" x14ac:dyDescent="0.35">
      <c r="A15" s="1"/>
      <c r="B15" s="53" t="s">
        <v>11</v>
      </c>
      <c r="C15" s="10">
        <f>'Fane 6. Ikke-påvirkelige omk.'!C20*(1+'Fane 13. Nøgletal'!C16)^3</f>
        <v>20941195.704249274</v>
      </c>
      <c r="D15" s="11" t="s">
        <v>3</v>
      </c>
      <c r="E15" s="1"/>
    </row>
    <row r="16" spans="1:5" x14ac:dyDescent="0.35">
      <c r="A16" s="1"/>
      <c r="B16" s="51" t="s">
        <v>117</v>
      </c>
      <c r="C16" s="52"/>
      <c r="D16" s="19"/>
      <c r="E16" s="1"/>
    </row>
    <row r="17" spans="1:5" x14ac:dyDescent="0.35">
      <c r="A17" s="1"/>
      <c r="B17" s="53" t="s">
        <v>118</v>
      </c>
      <c r="C17" s="10">
        <v>0</v>
      </c>
      <c r="D17" s="11" t="s">
        <v>3</v>
      </c>
      <c r="E17" s="1"/>
    </row>
    <row r="18" spans="1:5" x14ac:dyDescent="0.35">
      <c r="A18" s="1"/>
      <c r="B18" s="26" t="s">
        <v>138</v>
      </c>
      <c r="C18" s="52"/>
      <c r="D18" s="19"/>
      <c r="E18" s="1"/>
    </row>
    <row r="19" spans="1:5" x14ac:dyDescent="0.35">
      <c r="A19" s="1"/>
      <c r="B19" s="70" t="s">
        <v>139</v>
      </c>
      <c r="C19" s="10">
        <f>'Fane 8. Skattesagen'!G15</f>
        <v>0</v>
      </c>
      <c r="D19" s="11" t="s">
        <v>3</v>
      </c>
      <c r="E19" s="1"/>
    </row>
    <row r="20" spans="1:5" x14ac:dyDescent="0.35">
      <c r="A20" s="1"/>
      <c r="B20" s="51" t="s">
        <v>205</v>
      </c>
      <c r="C20" s="12">
        <f>SUM(C13,C15,C17,C19)</f>
        <v>39671735.792288184</v>
      </c>
      <c r="D20" s="13" t="s">
        <v>3</v>
      </c>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HqdpepOYlN6xMjlk0T3Bu8PJH/aUHcX4POopdgGF2w1K4ZUBxSe/VjXhg3I95+mhNj21UhxI8nQy4sDqf9Fzpw==" saltValue="x928YfyuWMc93D1+N7VVJ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796875" defaultRowHeight="14.5" x14ac:dyDescent="0.35"/>
  <cols>
    <col min="1" max="1" width="6.54296875" style="2" customWidth="1"/>
    <col min="2" max="2" width="56.7265625" style="2" customWidth="1"/>
    <col min="3" max="3" width="12.7265625" style="2" bestFit="1" customWidth="1"/>
    <col min="4" max="4" width="3" style="2" customWidth="1"/>
    <col min="5" max="5" width="6.26953125" style="2"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98" t="s">
        <v>201</v>
      </c>
      <c r="C3" s="98"/>
      <c r="D3" s="98"/>
      <c r="E3" s="1"/>
    </row>
    <row r="4" spans="1:5" x14ac:dyDescent="0.35">
      <c r="A4" s="1"/>
      <c r="B4" s="98"/>
      <c r="C4" s="98"/>
      <c r="D4" s="98"/>
      <c r="E4" s="1"/>
    </row>
    <row r="5" spans="1:5" x14ac:dyDescent="0.35">
      <c r="A5" s="1"/>
      <c r="B5" s="1"/>
      <c r="C5" s="1"/>
      <c r="D5" s="1"/>
      <c r="E5" s="1"/>
    </row>
    <row r="6" spans="1:5" x14ac:dyDescent="0.35">
      <c r="A6" s="1"/>
      <c r="B6" s="1"/>
      <c r="C6" s="1"/>
      <c r="D6" s="1"/>
      <c r="E6" s="1"/>
    </row>
    <row r="7" spans="1:5" x14ac:dyDescent="0.35">
      <c r="A7" s="1"/>
      <c r="B7" s="51" t="s">
        <v>202</v>
      </c>
      <c r="C7" s="52"/>
      <c r="D7" s="19"/>
      <c r="E7" s="1"/>
    </row>
    <row r="8" spans="1:5" x14ac:dyDescent="0.35">
      <c r="A8" s="1"/>
      <c r="B8" s="54" t="s">
        <v>108</v>
      </c>
      <c r="C8" s="7">
        <v>15640797.582161885</v>
      </c>
      <c r="D8" s="8" t="s">
        <v>3</v>
      </c>
      <c r="E8" s="1"/>
    </row>
    <row r="9" spans="1:5" x14ac:dyDescent="0.35">
      <c r="A9" s="1"/>
      <c r="B9" s="24" t="s">
        <v>33</v>
      </c>
      <c r="C9" s="7">
        <v>0</v>
      </c>
      <c r="D9" s="8" t="s">
        <v>3</v>
      </c>
      <c r="E9" s="1"/>
    </row>
    <row r="10" spans="1:5" x14ac:dyDescent="0.35">
      <c r="A10" s="1"/>
      <c r="B10" s="24" t="s">
        <v>34</v>
      </c>
      <c r="C10" s="9">
        <v>0</v>
      </c>
      <c r="D10" s="8" t="s">
        <v>3</v>
      </c>
      <c r="E10" s="1"/>
    </row>
    <row r="11" spans="1:5" x14ac:dyDescent="0.35">
      <c r="A11" s="1"/>
      <c r="B11" s="24" t="s">
        <v>25</v>
      </c>
      <c r="C11" s="9">
        <v>0</v>
      </c>
      <c r="D11" s="8" t="s">
        <v>3</v>
      </c>
      <c r="E11" s="1"/>
    </row>
    <row r="12" spans="1:5" x14ac:dyDescent="0.35">
      <c r="A12" s="1"/>
      <c r="B12" s="24" t="s">
        <v>24</v>
      </c>
      <c r="C12" s="9">
        <v>0</v>
      </c>
      <c r="D12" s="8" t="s">
        <v>3</v>
      </c>
      <c r="E12" s="1"/>
    </row>
    <row r="13" spans="1:5" x14ac:dyDescent="0.35">
      <c r="A13" s="1"/>
      <c r="B13" s="24" t="s">
        <v>106</v>
      </c>
      <c r="C13" s="9">
        <v>0</v>
      </c>
      <c r="D13" s="8" t="s">
        <v>3</v>
      </c>
      <c r="E13" s="1"/>
    </row>
    <row r="14" spans="1:5" x14ac:dyDescent="0.35">
      <c r="A14" s="1"/>
      <c r="B14" s="24" t="s">
        <v>107</v>
      </c>
      <c r="C14" s="9">
        <v>0</v>
      </c>
      <c r="D14" s="8" t="s">
        <v>3</v>
      </c>
      <c r="E14" s="1"/>
    </row>
    <row r="15" spans="1:5" x14ac:dyDescent="0.35">
      <c r="A15" s="1"/>
      <c r="B15" s="24" t="s">
        <v>17</v>
      </c>
      <c r="C15" s="9">
        <v>556812.39392496308</v>
      </c>
      <c r="D15" s="8" t="s">
        <v>3</v>
      </c>
      <c r="E15" s="1"/>
    </row>
    <row r="16" spans="1:5" x14ac:dyDescent="0.35">
      <c r="A16" s="1"/>
      <c r="B16" s="24" t="s">
        <v>9</v>
      </c>
      <c r="C16" s="9">
        <v>-237377.92502196276</v>
      </c>
      <c r="D16" s="8" t="s">
        <v>3</v>
      </c>
      <c r="E16" s="1"/>
    </row>
    <row r="17" spans="1:5" x14ac:dyDescent="0.35">
      <c r="A17" s="1"/>
      <c r="B17" s="24" t="s">
        <v>22</v>
      </c>
      <c r="C17" s="9">
        <v>-154231.27639794204</v>
      </c>
      <c r="D17" s="8" t="s">
        <v>3</v>
      </c>
      <c r="E17" s="1"/>
    </row>
    <row r="18" spans="1:5" x14ac:dyDescent="0.35">
      <c r="A18" s="1"/>
      <c r="B18" s="24" t="s">
        <v>23</v>
      </c>
      <c r="C18" s="9">
        <v>0</v>
      </c>
      <c r="D18" s="8" t="s">
        <v>3</v>
      </c>
      <c r="E18" s="1"/>
    </row>
    <row r="19" spans="1:5" x14ac:dyDescent="0.35">
      <c r="A19" s="1"/>
      <c r="B19" s="71" t="s">
        <v>19</v>
      </c>
      <c r="C19" s="10">
        <v>15806000.774666943</v>
      </c>
      <c r="D19" s="11" t="s">
        <v>3</v>
      </c>
      <c r="E19" s="1"/>
    </row>
    <row r="20" spans="1:5" x14ac:dyDescent="0.35">
      <c r="A20" s="1"/>
      <c r="B20" s="51" t="s">
        <v>11</v>
      </c>
      <c r="C20" s="52"/>
      <c r="D20" s="19"/>
      <c r="E20" s="1"/>
    </row>
    <row r="21" spans="1:5" x14ac:dyDescent="0.35">
      <c r="A21" s="1"/>
      <c r="B21" s="53" t="s">
        <v>11</v>
      </c>
      <c r="C21" s="10">
        <v>16334842.592352962</v>
      </c>
      <c r="D21" s="11" t="s">
        <v>3</v>
      </c>
      <c r="E21" s="1"/>
    </row>
    <row r="22" spans="1:5" x14ac:dyDescent="0.35">
      <c r="A22" s="1"/>
      <c r="B22" s="51" t="s">
        <v>75</v>
      </c>
      <c r="C22" s="52"/>
      <c r="D22" s="19"/>
      <c r="E22" s="1"/>
    </row>
    <row r="23" spans="1:5" x14ac:dyDescent="0.35">
      <c r="A23" s="1"/>
      <c r="B23" s="24" t="s">
        <v>71</v>
      </c>
      <c r="C23" s="9">
        <v>0</v>
      </c>
      <c r="D23" s="8" t="s">
        <v>3</v>
      </c>
      <c r="E23" s="1"/>
    </row>
    <row r="24" spans="1:5" x14ac:dyDescent="0.35">
      <c r="A24" s="1"/>
      <c r="B24" s="24" t="s">
        <v>72</v>
      </c>
      <c r="C24" s="9">
        <v>0</v>
      </c>
      <c r="D24" s="8" t="s">
        <v>3</v>
      </c>
      <c r="E24" s="1"/>
    </row>
    <row r="25" spans="1:5" x14ac:dyDescent="0.35">
      <c r="A25" s="1"/>
      <c r="B25" s="24" t="s">
        <v>164</v>
      </c>
      <c r="C25" s="9">
        <v>0</v>
      </c>
      <c r="D25" s="8" t="s">
        <v>3</v>
      </c>
      <c r="E25" s="1"/>
    </row>
    <row r="26" spans="1:5" x14ac:dyDescent="0.35">
      <c r="A26" s="1"/>
      <c r="B26" s="24" t="s">
        <v>165</v>
      </c>
      <c r="C26" s="9">
        <v>0</v>
      </c>
      <c r="D26" s="8" t="s">
        <v>3</v>
      </c>
      <c r="E26" s="1"/>
    </row>
    <row r="27" spans="1:5" x14ac:dyDescent="0.35">
      <c r="A27" s="1"/>
      <c r="B27" s="71" t="s">
        <v>76</v>
      </c>
      <c r="C27" s="56">
        <v>0</v>
      </c>
      <c r="D27" s="11" t="s">
        <v>3</v>
      </c>
      <c r="E27" s="1"/>
    </row>
    <row r="28" spans="1:5" x14ac:dyDescent="0.35">
      <c r="A28" s="1"/>
      <c r="B28" s="26" t="s">
        <v>117</v>
      </c>
      <c r="C28" s="52"/>
      <c r="D28" s="19"/>
      <c r="E28" s="1"/>
    </row>
    <row r="29" spans="1:5" x14ac:dyDescent="0.35">
      <c r="A29" s="1"/>
      <c r="B29" s="70" t="s">
        <v>118</v>
      </c>
      <c r="C29" s="10">
        <v>0</v>
      </c>
      <c r="D29" s="11" t="s">
        <v>3</v>
      </c>
      <c r="E29" s="1"/>
    </row>
    <row r="30" spans="1:5" x14ac:dyDescent="0.35">
      <c r="A30" s="1"/>
      <c r="B30" s="26" t="s">
        <v>138</v>
      </c>
      <c r="C30" s="52"/>
      <c r="D30" s="19"/>
      <c r="E30" s="1"/>
    </row>
    <row r="31" spans="1:5" x14ac:dyDescent="0.35">
      <c r="A31" s="1"/>
      <c r="B31" s="70" t="s">
        <v>139</v>
      </c>
      <c r="C31" s="10">
        <v>0</v>
      </c>
      <c r="D31" s="11" t="s">
        <v>3</v>
      </c>
      <c r="E31" s="1"/>
    </row>
    <row r="32" spans="1:5" x14ac:dyDescent="0.35">
      <c r="A32" s="1"/>
      <c r="B32" s="51" t="s">
        <v>239</v>
      </c>
      <c r="C32" s="33">
        <v>32140843.367019907</v>
      </c>
      <c r="D32" s="19" t="s">
        <v>3</v>
      </c>
      <c r="E32" s="1"/>
    </row>
    <row r="33" spans="1:5" ht="30" customHeight="1" x14ac:dyDescent="0.35">
      <c r="A33" s="1"/>
      <c r="B33" s="97" t="s">
        <v>240</v>
      </c>
      <c r="C33" s="97"/>
      <c r="D33" s="97"/>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sheetData>
  <sheetProtection algorithmName="SHA-512" hashValue="nCtUFsE5QZk2vgYNhnY+f9vP+PIKy/aDL2e0yPPKFEfRYO+DRElRGwz4B3gCj8FqEWvqfaOkB4W4sZ8hlK6VQg==" saltValue="CTcggodABU8iWjyb5ZW6Nw=="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796875" defaultRowHeight="14.5" x14ac:dyDescent="0.35"/>
  <cols>
    <col min="1" max="1" width="5.26953125" style="2" customWidth="1"/>
    <col min="2" max="5" width="9.1796875" style="2"/>
    <col min="6" max="6" width="20.1796875" style="2" customWidth="1"/>
    <col min="7" max="7" width="13.453125" style="37" customWidth="1"/>
    <col min="8" max="8" width="3.7265625" style="2" customWidth="1"/>
    <col min="9" max="9" width="5.26953125" style="2" customWidth="1"/>
    <col min="10" max="16384" width="9.1796875" style="2"/>
  </cols>
  <sheetData>
    <row r="1" spans="1:9" ht="15" customHeight="1" x14ac:dyDescent="0.35">
      <c r="A1" s="1"/>
      <c r="B1" s="98" t="s">
        <v>90</v>
      </c>
      <c r="C1" s="98"/>
      <c r="D1" s="98"/>
      <c r="E1" s="98"/>
      <c r="F1" s="98"/>
      <c r="G1" s="98"/>
      <c r="H1" s="98"/>
      <c r="I1" s="1"/>
    </row>
    <row r="2" spans="1:9" ht="15" customHeight="1" x14ac:dyDescent="0.35">
      <c r="A2" s="1"/>
      <c r="B2" s="98"/>
      <c r="C2" s="98"/>
      <c r="D2" s="98"/>
      <c r="E2" s="98"/>
      <c r="F2" s="98"/>
      <c r="G2" s="98"/>
      <c r="H2" s="98"/>
      <c r="I2" s="1"/>
    </row>
    <row r="3" spans="1:9" ht="15" customHeight="1" x14ac:dyDescent="0.35">
      <c r="A3" s="1"/>
      <c r="B3" s="98"/>
      <c r="C3" s="98"/>
      <c r="D3" s="98"/>
      <c r="E3" s="98"/>
      <c r="F3" s="98"/>
      <c r="G3" s="98"/>
      <c r="H3" s="98"/>
      <c r="I3" s="1"/>
    </row>
    <row r="4" spans="1:9" x14ac:dyDescent="0.35">
      <c r="A4" s="1"/>
      <c r="B4" s="105" t="s">
        <v>44</v>
      </c>
      <c r="C4" s="106"/>
      <c r="D4" s="106"/>
      <c r="E4" s="106"/>
      <c r="F4" s="106"/>
      <c r="G4" s="106"/>
      <c r="H4" s="107"/>
      <c r="I4" s="1"/>
    </row>
    <row r="5" spans="1:9" x14ac:dyDescent="0.35">
      <c r="A5" s="1"/>
      <c r="B5" s="99" t="s">
        <v>36</v>
      </c>
      <c r="C5" s="100"/>
      <c r="D5" s="100"/>
      <c r="E5" s="100"/>
      <c r="F5" s="101"/>
      <c r="G5" s="47">
        <v>7834729</v>
      </c>
      <c r="H5" s="14" t="s">
        <v>3</v>
      </c>
      <c r="I5" s="1"/>
    </row>
    <row r="6" spans="1:9" x14ac:dyDescent="0.35">
      <c r="A6" s="1"/>
      <c r="B6" s="99" t="s">
        <v>37</v>
      </c>
      <c r="C6" s="100"/>
      <c r="D6" s="100"/>
      <c r="E6" s="100"/>
      <c r="F6" s="101"/>
      <c r="G6" s="22">
        <f>G5*'Fane 13. Nøgletal'!C33</f>
        <v>156694.58000000002</v>
      </c>
      <c r="H6" s="14" t="s">
        <v>3</v>
      </c>
      <c r="I6" s="1"/>
    </row>
    <row r="7" spans="1:9" x14ac:dyDescent="0.35">
      <c r="A7" s="1"/>
      <c r="B7" s="51"/>
      <c r="C7" s="52"/>
      <c r="D7" s="52"/>
      <c r="E7" s="52"/>
      <c r="F7" s="52"/>
      <c r="G7" s="35"/>
      <c r="H7" s="19"/>
      <c r="I7" s="1"/>
    </row>
    <row r="8" spans="1:9" x14ac:dyDescent="0.35">
      <c r="A8" s="1"/>
      <c r="B8" s="1"/>
      <c r="C8" s="1"/>
      <c r="D8" s="1"/>
      <c r="E8" s="1"/>
      <c r="F8" s="1"/>
      <c r="G8" s="36"/>
      <c r="H8" s="1"/>
      <c r="I8" s="1"/>
    </row>
    <row r="9" spans="1:9" x14ac:dyDescent="0.35">
      <c r="A9" s="1"/>
      <c r="B9" s="105" t="s">
        <v>45</v>
      </c>
      <c r="C9" s="106"/>
      <c r="D9" s="106"/>
      <c r="E9" s="106"/>
      <c r="F9" s="106"/>
      <c r="G9" s="106"/>
      <c r="H9" s="107"/>
      <c r="I9" s="1"/>
    </row>
    <row r="10" spans="1:9" x14ac:dyDescent="0.35">
      <c r="A10" s="1"/>
      <c r="B10" s="99" t="s">
        <v>38</v>
      </c>
      <c r="C10" s="100"/>
      <c r="D10" s="100"/>
      <c r="E10" s="100"/>
      <c r="F10" s="101"/>
      <c r="G10" s="22">
        <f>(G5-G6)*(1+'Fane 13. Nøgletal'!C9)</f>
        <v>7775545.4571339991</v>
      </c>
      <c r="H10" s="14" t="s">
        <v>3</v>
      </c>
      <c r="I10" s="1"/>
    </row>
    <row r="11" spans="1:9" x14ac:dyDescent="0.35">
      <c r="A11" s="1"/>
      <c r="B11" s="102" t="s">
        <v>228</v>
      </c>
      <c r="C11" s="103"/>
      <c r="D11" s="103"/>
      <c r="E11" s="103"/>
      <c r="F11" s="104"/>
      <c r="G11" s="47">
        <v>0</v>
      </c>
      <c r="H11" s="14" t="s">
        <v>3</v>
      </c>
      <c r="I11" s="1"/>
    </row>
    <row r="12" spans="1:9" x14ac:dyDescent="0.35">
      <c r="A12" s="1"/>
      <c r="B12" s="99" t="s">
        <v>39</v>
      </c>
      <c r="C12" s="100"/>
      <c r="D12" s="100"/>
      <c r="E12" s="100"/>
      <c r="F12" s="101"/>
      <c r="G12" s="22">
        <f>(G10+G11)*'Fane 13. Nøgletal'!C33</f>
        <v>155510.90914267997</v>
      </c>
      <c r="H12" s="14" t="s">
        <v>3</v>
      </c>
      <c r="I12" s="1"/>
    </row>
    <row r="13" spans="1:9" x14ac:dyDescent="0.35">
      <c r="A13" s="1"/>
      <c r="B13" s="51"/>
      <c r="C13" s="52"/>
      <c r="D13" s="52"/>
      <c r="E13" s="52"/>
      <c r="F13" s="52"/>
      <c r="G13" s="35"/>
      <c r="H13" s="19"/>
      <c r="I13" s="1"/>
    </row>
    <row r="14" spans="1:9" x14ac:dyDescent="0.35">
      <c r="A14" s="1"/>
      <c r="B14" s="1"/>
      <c r="C14" s="1"/>
      <c r="D14" s="1"/>
      <c r="E14" s="1"/>
      <c r="F14" s="1"/>
      <c r="G14" s="36"/>
      <c r="H14" s="1"/>
      <c r="I14" s="1"/>
    </row>
    <row r="15" spans="1:9" x14ac:dyDescent="0.35">
      <c r="A15" s="1"/>
      <c r="B15" s="105" t="s">
        <v>46</v>
      </c>
      <c r="C15" s="106"/>
      <c r="D15" s="106"/>
      <c r="E15" s="106"/>
      <c r="F15" s="106"/>
      <c r="G15" s="106"/>
      <c r="H15" s="107"/>
      <c r="I15" s="1"/>
    </row>
    <row r="16" spans="1:9" x14ac:dyDescent="0.35">
      <c r="A16" s="1"/>
      <c r="B16" s="99" t="s">
        <v>40</v>
      </c>
      <c r="C16" s="100"/>
      <c r="D16" s="100"/>
      <c r="E16" s="100"/>
      <c r="F16" s="101"/>
      <c r="G16" s="22">
        <f>(G10+G11-G12)*(1+'Fane 13. Nøgletal'!C11)</f>
        <v>7748813.1318523725</v>
      </c>
      <c r="H16" s="14" t="s">
        <v>3</v>
      </c>
      <c r="I16" s="1"/>
    </row>
    <row r="17" spans="1:9" x14ac:dyDescent="0.35">
      <c r="A17" s="1"/>
      <c r="B17" s="99" t="s">
        <v>100</v>
      </c>
      <c r="C17" s="100"/>
      <c r="D17" s="100"/>
      <c r="E17" s="100"/>
      <c r="F17" s="101"/>
      <c r="G17" s="47">
        <v>0.20681024974455559</v>
      </c>
      <c r="H17" s="14" t="s">
        <v>3</v>
      </c>
      <c r="I17" s="1"/>
    </row>
    <row r="18" spans="1:9" x14ac:dyDescent="0.35">
      <c r="A18" s="1"/>
      <c r="B18" s="102" t="s">
        <v>229</v>
      </c>
      <c r="C18" s="103"/>
      <c r="D18" s="103"/>
      <c r="E18" s="103"/>
      <c r="F18" s="104"/>
      <c r="G18" s="47">
        <v>0</v>
      </c>
      <c r="H18" s="14" t="s">
        <v>3</v>
      </c>
      <c r="I18" s="1"/>
    </row>
    <row r="19" spans="1:9" x14ac:dyDescent="0.35">
      <c r="A19" s="1"/>
      <c r="B19" s="99" t="s">
        <v>41</v>
      </c>
      <c r="C19" s="100"/>
      <c r="D19" s="100"/>
      <c r="E19" s="100"/>
      <c r="F19" s="101"/>
      <c r="G19" s="22">
        <f>SUM(G16:G18)*'Fane 13. Nøgletal'!C33</f>
        <v>154976.26677325246</v>
      </c>
      <c r="H19" s="14" t="s">
        <v>3</v>
      </c>
      <c r="I19" s="1"/>
    </row>
    <row r="20" spans="1:9" x14ac:dyDescent="0.35">
      <c r="A20" s="1"/>
      <c r="B20" s="51"/>
      <c r="C20" s="52"/>
      <c r="D20" s="52"/>
      <c r="E20" s="52"/>
      <c r="F20" s="52"/>
      <c r="G20" s="35"/>
      <c r="H20" s="19"/>
      <c r="I20" s="1"/>
    </row>
    <row r="21" spans="1:9" x14ac:dyDescent="0.35">
      <c r="A21" s="1"/>
      <c r="B21" s="1"/>
      <c r="C21" s="1"/>
      <c r="D21" s="1"/>
      <c r="E21" s="1"/>
      <c r="F21" s="1"/>
      <c r="G21" s="36"/>
      <c r="H21" s="1"/>
      <c r="I21" s="1"/>
    </row>
    <row r="22" spans="1:9" x14ac:dyDescent="0.35">
      <c r="A22" s="1"/>
      <c r="B22" s="105" t="s">
        <v>47</v>
      </c>
      <c r="C22" s="106"/>
      <c r="D22" s="106"/>
      <c r="E22" s="106"/>
      <c r="F22" s="106"/>
      <c r="G22" s="106"/>
      <c r="H22" s="107"/>
      <c r="I22" s="1"/>
    </row>
    <row r="23" spans="1:9" x14ac:dyDescent="0.35">
      <c r="A23" s="1"/>
      <c r="B23" s="99" t="s">
        <v>42</v>
      </c>
      <c r="C23" s="100"/>
      <c r="D23" s="100"/>
      <c r="E23" s="100"/>
      <c r="F23" s="101"/>
      <c r="G23" s="22">
        <f>(SUM(G16:G18)-G19)*(1+'Fane 13. Nøgletal'!C11)</f>
        <v>7722172.9184042998</v>
      </c>
      <c r="H23" s="14" t="s">
        <v>3</v>
      </c>
      <c r="I23" s="1"/>
    </row>
    <row r="24" spans="1:9" x14ac:dyDescent="0.35">
      <c r="A24" s="1"/>
      <c r="B24" s="102" t="s">
        <v>230</v>
      </c>
      <c r="C24" s="103"/>
      <c r="D24" s="103"/>
      <c r="E24" s="103"/>
      <c r="F24" s="104"/>
      <c r="G24" s="47">
        <v>0</v>
      </c>
      <c r="H24" s="14" t="s">
        <v>3</v>
      </c>
      <c r="I24" s="1"/>
    </row>
    <row r="25" spans="1:9" x14ac:dyDescent="0.35">
      <c r="A25" s="1"/>
      <c r="B25" s="99" t="s">
        <v>43</v>
      </c>
      <c r="C25" s="100"/>
      <c r="D25" s="100"/>
      <c r="E25" s="100"/>
      <c r="F25" s="101"/>
      <c r="G25" s="22">
        <f>(G23+G24)*'Fane 13. Nøgletal'!C33</f>
        <v>154443.45836808599</v>
      </c>
      <c r="H25" s="14" t="s">
        <v>3</v>
      </c>
      <c r="I25" s="1"/>
    </row>
    <row r="26" spans="1:9" x14ac:dyDescent="0.35">
      <c r="A26" s="1"/>
      <c r="B26" s="51"/>
      <c r="C26" s="52"/>
      <c r="D26" s="52"/>
      <c r="E26" s="52"/>
      <c r="F26" s="52"/>
      <c r="G26" s="35"/>
      <c r="H26" s="19"/>
      <c r="I26" s="1"/>
    </row>
    <row r="27" spans="1:9" x14ac:dyDescent="0.35">
      <c r="A27" s="1"/>
      <c r="B27" s="1"/>
      <c r="C27" s="1"/>
      <c r="D27" s="1"/>
      <c r="E27" s="1"/>
      <c r="F27" s="1"/>
      <c r="G27" s="36"/>
      <c r="H27" s="1"/>
      <c r="I27" s="1"/>
    </row>
    <row r="28" spans="1:9" x14ac:dyDescent="0.35">
      <c r="A28" s="1"/>
      <c r="B28" s="105" t="s">
        <v>121</v>
      </c>
      <c r="C28" s="106"/>
      <c r="D28" s="106"/>
      <c r="E28" s="106"/>
      <c r="F28" s="106"/>
      <c r="G28" s="106"/>
      <c r="H28" s="107"/>
      <c r="I28" s="1"/>
    </row>
    <row r="29" spans="1:9" x14ac:dyDescent="0.35">
      <c r="A29" s="1"/>
      <c r="B29" s="99" t="s">
        <v>50</v>
      </c>
      <c r="C29" s="100"/>
      <c r="D29" s="100"/>
      <c r="E29" s="100"/>
      <c r="F29" s="101"/>
      <c r="G29" s="22">
        <f>(G23+G24-G25)*(1+'Fane 13. Nøgletal'!C13)</f>
        <v>7660055.7594486549</v>
      </c>
      <c r="H29" s="14" t="s">
        <v>3</v>
      </c>
      <c r="I29" s="1"/>
    </row>
    <row r="30" spans="1:9" x14ac:dyDescent="0.35">
      <c r="A30" s="1"/>
      <c r="B30" s="99" t="s">
        <v>231</v>
      </c>
      <c r="C30" s="100"/>
      <c r="D30" s="100"/>
      <c r="E30" s="100"/>
      <c r="F30" s="101"/>
      <c r="G30" s="47">
        <v>0</v>
      </c>
      <c r="H30" s="14" t="s">
        <v>3</v>
      </c>
      <c r="I30" s="1"/>
    </row>
    <row r="31" spans="1:9" x14ac:dyDescent="0.35">
      <c r="A31" s="1"/>
      <c r="B31" s="99" t="s">
        <v>115</v>
      </c>
      <c r="C31" s="100"/>
      <c r="D31" s="100"/>
      <c r="E31" s="100"/>
      <c r="F31" s="101"/>
      <c r="G31" s="22">
        <f>(G29+G30)*'Fane 13. Nøgletal'!C33</f>
        <v>153201.11518897311</v>
      </c>
      <c r="H31" s="14" t="s">
        <v>3</v>
      </c>
      <c r="I31" s="1"/>
    </row>
    <row r="32" spans="1:9" x14ac:dyDescent="0.35">
      <c r="A32" s="1"/>
      <c r="B32" s="51"/>
      <c r="C32" s="52"/>
      <c r="D32" s="52"/>
      <c r="E32" s="52"/>
      <c r="F32" s="52"/>
      <c r="G32" s="35"/>
      <c r="H32" s="19"/>
      <c r="I32" s="1"/>
    </row>
    <row r="33" spans="1:9" x14ac:dyDescent="0.35">
      <c r="A33" s="1"/>
      <c r="B33" s="1"/>
      <c r="C33" s="1"/>
      <c r="D33" s="1"/>
      <c r="E33" s="1"/>
      <c r="F33" s="1"/>
      <c r="G33" s="36"/>
      <c r="H33" s="1"/>
      <c r="I33" s="1"/>
    </row>
    <row r="34" spans="1:9" x14ac:dyDescent="0.35">
      <c r="A34" s="1"/>
      <c r="B34" s="105" t="s">
        <v>122</v>
      </c>
      <c r="C34" s="106"/>
      <c r="D34" s="106"/>
      <c r="E34" s="106"/>
      <c r="F34" s="106"/>
      <c r="G34" s="106"/>
      <c r="H34" s="107"/>
      <c r="I34" s="1"/>
    </row>
    <row r="35" spans="1:9" x14ac:dyDescent="0.35">
      <c r="A35" s="1"/>
      <c r="B35" s="99" t="s">
        <v>69</v>
      </c>
      <c r="C35" s="100"/>
      <c r="D35" s="100"/>
      <c r="E35" s="100"/>
      <c r="F35" s="101"/>
      <c r="G35" s="22">
        <f>(G29+G30-G31)*(1+'Fane 13. Nøgletal'!C13)</f>
        <v>7598438.2709196499</v>
      </c>
      <c r="H35" s="14" t="s">
        <v>3</v>
      </c>
      <c r="I35" s="1"/>
    </row>
    <row r="36" spans="1:9" x14ac:dyDescent="0.35">
      <c r="A36" s="1"/>
      <c r="B36" s="99" t="s">
        <v>232</v>
      </c>
      <c r="C36" s="100"/>
      <c r="D36" s="100"/>
      <c r="E36" s="100"/>
      <c r="F36" s="101"/>
      <c r="G36" s="47">
        <v>0</v>
      </c>
      <c r="H36" s="14" t="s">
        <v>3</v>
      </c>
      <c r="I36" s="1"/>
    </row>
    <row r="37" spans="1:9" x14ac:dyDescent="0.35">
      <c r="A37" s="1"/>
      <c r="B37" s="99" t="s">
        <v>123</v>
      </c>
      <c r="C37" s="100"/>
      <c r="D37" s="100"/>
      <c r="E37" s="100"/>
      <c r="F37" s="101"/>
      <c r="G37" s="22">
        <f>(G35+G36)*'Fane 13. Nøgletal'!C33</f>
        <v>151968.76541839301</v>
      </c>
      <c r="H37" s="14" t="s">
        <v>3</v>
      </c>
      <c r="I37" s="1"/>
    </row>
    <row r="38" spans="1:9" x14ac:dyDescent="0.35">
      <c r="A38" s="1"/>
      <c r="B38" s="51"/>
      <c r="C38" s="52"/>
      <c r="D38" s="52"/>
      <c r="E38" s="52"/>
      <c r="F38" s="52"/>
      <c r="G38" s="35"/>
      <c r="H38" s="19"/>
      <c r="I38" s="1"/>
    </row>
    <row r="39" spans="1:9" x14ac:dyDescent="0.35">
      <c r="A39" s="1"/>
      <c r="B39" s="1"/>
      <c r="C39" s="1"/>
      <c r="D39" s="1"/>
      <c r="E39" s="1"/>
      <c r="F39" s="1"/>
      <c r="G39" s="36"/>
      <c r="H39" s="1"/>
      <c r="I39" s="1"/>
    </row>
    <row r="40" spans="1:9" x14ac:dyDescent="0.35">
      <c r="A40" s="1"/>
      <c r="B40" s="105" t="s">
        <v>157</v>
      </c>
      <c r="C40" s="106"/>
      <c r="D40" s="106"/>
      <c r="E40" s="106"/>
      <c r="F40" s="106"/>
      <c r="G40" s="106"/>
      <c r="H40" s="107"/>
      <c r="I40" s="1"/>
    </row>
    <row r="41" spans="1:9" x14ac:dyDescent="0.35">
      <c r="A41" s="1"/>
      <c r="B41" s="99" t="s">
        <v>68</v>
      </c>
      <c r="C41" s="100"/>
      <c r="D41" s="100"/>
      <c r="E41" s="100"/>
      <c r="F41" s="101"/>
      <c r="G41" s="22">
        <f>(G35+G36-G37)*(1+'Fane 13. Nøgletal'!C15)</f>
        <v>7711563.8198971022</v>
      </c>
      <c r="H41" s="14" t="s">
        <v>3</v>
      </c>
      <c r="I41" s="1"/>
    </row>
    <row r="42" spans="1:9" x14ac:dyDescent="0.35">
      <c r="A42" s="1"/>
      <c r="B42" s="99" t="s">
        <v>156</v>
      </c>
      <c r="C42" s="100"/>
      <c r="D42" s="100"/>
      <c r="E42" s="100"/>
      <c r="F42" s="101"/>
      <c r="G42" s="58">
        <v>0</v>
      </c>
      <c r="H42" s="14" t="s">
        <v>3</v>
      </c>
      <c r="I42" s="1"/>
    </row>
    <row r="43" spans="1:9" x14ac:dyDescent="0.35">
      <c r="A43" s="1"/>
      <c r="B43" s="99" t="s">
        <v>166</v>
      </c>
      <c r="C43" s="100"/>
      <c r="D43" s="100"/>
      <c r="E43" s="100"/>
      <c r="F43" s="101"/>
      <c r="G43" s="22">
        <f>(G41+G42)*'Fane 13. Nøgletal'!C33</f>
        <v>154231.27639794204</v>
      </c>
      <c r="H43" s="14" t="s">
        <v>3</v>
      </c>
      <c r="I43" s="1"/>
    </row>
    <row r="44" spans="1:9" x14ac:dyDescent="0.35">
      <c r="A44" s="1"/>
      <c r="B44" s="51"/>
      <c r="C44" s="52"/>
      <c r="D44" s="52"/>
      <c r="E44" s="52"/>
      <c r="F44" s="52"/>
      <c r="G44" s="35"/>
      <c r="H44" s="19"/>
      <c r="I44" s="1"/>
    </row>
    <row r="45" spans="1:9" x14ac:dyDescent="0.35">
      <c r="A45" s="1"/>
      <c r="B45" s="1"/>
      <c r="C45" s="1"/>
      <c r="D45" s="1"/>
      <c r="E45" s="1"/>
      <c r="F45" s="1"/>
      <c r="G45" s="36"/>
      <c r="H45" s="1"/>
      <c r="I45" s="1"/>
    </row>
    <row r="46" spans="1:9" x14ac:dyDescent="0.35">
      <c r="A46" s="1"/>
      <c r="B46" s="105" t="s">
        <v>158</v>
      </c>
      <c r="C46" s="106"/>
      <c r="D46" s="106"/>
      <c r="E46" s="106"/>
      <c r="F46" s="106"/>
      <c r="G46" s="106"/>
      <c r="H46" s="107"/>
      <c r="I46" s="1"/>
    </row>
    <row r="47" spans="1:9" x14ac:dyDescent="0.35">
      <c r="A47" s="1"/>
      <c r="B47" s="99" t="s">
        <v>112</v>
      </c>
      <c r="C47" s="100"/>
      <c r="D47" s="100"/>
      <c r="E47" s="100"/>
      <c r="F47" s="101"/>
      <c r="G47" s="22">
        <f>(G41+G42-G43)*(1+'Fane 13. Nøgletal'!C15)</f>
        <v>7826373.5820477316</v>
      </c>
      <c r="H47" s="14" t="s">
        <v>3</v>
      </c>
      <c r="I47" s="1"/>
    </row>
    <row r="48" spans="1:9" x14ac:dyDescent="0.35">
      <c r="A48" s="1"/>
      <c r="B48" s="99" t="s">
        <v>206</v>
      </c>
      <c r="C48" s="100"/>
      <c r="D48" s="100"/>
      <c r="E48" s="100"/>
      <c r="F48" s="101"/>
      <c r="G48" s="55">
        <f>('Fane 2.1. Økonomisk ramme 2024'!C9+'Fane 2.1. Økonomisk ramme 2024'!C11+'Fane 2.1. Økonomisk ramme 2024'!C13)*(1+'Fane 13. Nøgletal'!C16)</f>
        <v>0</v>
      </c>
      <c r="H48" s="14" t="s">
        <v>3</v>
      </c>
      <c r="I48" s="1"/>
    </row>
    <row r="49" spans="1:9" x14ac:dyDescent="0.35">
      <c r="A49" s="1"/>
      <c r="B49" s="99" t="s">
        <v>167</v>
      </c>
      <c r="C49" s="100"/>
      <c r="D49" s="100"/>
      <c r="E49" s="100"/>
      <c r="F49" s="101"/>
      <c r="G49" s="22">
        <f>G47*'Fane 13. Nøgletal'!C33+G48*'Fane 13. Nøgletal'!C33</f>
        <v>156527.47164095464</v>
      </c>
      <c r="H49" s="14" t="s">
        <v>3</v>
      </c>
      <c r="I49" s="1"/>
    </row>
    <row r="50" spans="1:9" x14ac:dyDescent="0.35">
      <c r="A50" s="1"/>
      <c r="B50" s="51"/>
      <c r="C50" s="52"/>
      <c r="D50" s="52"/>
      <c r="E50" s="52"/>
      <c r="F50" s="52"/>
      <c r="G50" s="35"/>
      <c r="H50" s="19"/>
      <c r="I50" s="1"/>
    </row>
    <row r="51" spans="1:9" x14ac:dyDescent="0.35">
      <c r="A51" s="1"/>
      <c r="B51" s="1"/>
      <c r="C51" s="1"/>
      <c r="D51" s="1"/>
      <c r="E51" s="1"/>
      <c r="F51" s="1"/>
      <c r="G51" s="36"/>
      <c r="H51" s="1"/>
      <c r="I51" s="1"/>
    </row>
    <row r="52" spans="1:9" x14ac:dyDescent="0.35">
      <c r="A52" s="1"/>
      <c r="B52" s="105" t="s">
        <v>133</v>
      </c>
      <c r="C52" s="106"/>
      <c r="D52" s="106"/>
      <c r="E52" s="106"/>
      <c r="F52" s="106"/>
      <c r="G52" s="106"/>
      <c r="H52" s="107"/>
      <c r="I52" s="1"/>
    </row>
    <row r="53" spans="1:9" x14ac:dyDescent="0.35">
      <c r="A53" s="1"/>
      <c r="B53" s="99" t="s">
        <v>134</v>
      </c>
      <c r="C53" s="100"/>
      <c r="D53" s="100"/>
      <c r="E53" s="100"/>
      <c r="F53" s="101"/>
      <c r="G53" s="22">
        <f>(G47+G48-G49)*(1+'Fane 13. Nøgletal'!C16)</f>
        <v>8289569.6761276443</v>
      </c>
      <c r="H53" s="14" t="s">
        <v>3</v>
      </c>
      <c r="I53" s="1"/>
    </row>
    <row r="54" spans="1:9" x14ac:dyDescent="0.35">
      <c r="A54" s="1"/>
      <c r="B54" s="99" t="s">
        <v>135</v>
      </c>
      <c r="C54" s="100"/>
      <c r="D54" s="100"/>
      <c r="E54" s="100"/>
      <c r="F54" s="101"/>
      <c r="G54" s="22">
        <f>(G53)*'Fane 13. Nøgletal'!C33</f>
        <v>165791.39352255288</v>
      </c>
      <c r="H54" s="14" t="s">
        <v>3</v>
      </c>
      <c r="I54" s="1"/>
    </row>
    <row r="55" spans="1:9" x14ac:dyDescent="0.35">
      <c r="A55" s="1"/>
      <c r="B55" s="51"/>
      <c r="C55" s="52"/>
      <c r="D55" s="52"/>
      <c r="E55" s="52"/>
      <c r="F55" s="52"/>
      <c r="G55" s="35"/>
      <c r="H55" s="19"/>
      <c r="I55" s="1"/>
    </row>
    <row r="56" spans="1:9" x14ac:dyDescent="0.35">
      <c r="A56" s="1"/>
      <c r="B56" s="1"/>
      <c r="C56" s="1"/>
      <c r="D56" s="1"/>
      <c r="E56" s="1"/>
      <c r="F56" s="1"/>
      <c r="G56" s="36"/>
      <c r="H56" s="1"/>
      <c r="I56" s="1"/>
    </row>
    <row r="57" spans="1:9" x14ac:dyDescent="0.35">
      <c r="A57" s="1"/>
      <c r="B57" s="105" t="s">
        <v>144</v>
      </c>
      <c r="C57" s="106"/>
      <c r="D57" s="106"/>
      <c r="E57" s="106"/>
      <c r="F57" s="106"/>
      <c r="G57" s="106"/>
      <c r="H57" s="107"/>
      <c r="I57" s="1"/>
    </row>
    <row r="58" spans="1:9" x14ac:dyDescent="0.35">
      <c r="A58" s="1"/>
      <c r="B58" s="99" t="s">
        <v>145</v>
      </c>
      <c r="C58" s="100"/>
      <c r="D58" s="100"/>
      <c r="E58" s="100"/>
      <c r="F58" s="101"/>
      <c r="G58" s="22">
        <f>(G53-G54)*(1+'Fane 13. Nøgletal'!C16)</f>
        <v>8780179.5678395815</v>
      </c>
      <c r="H58" s="14" t="s">
        <v>3</v>
      </c>
      <c r="I58" s="1"/>
    </row>
    <row r="59" spans="1:9" x14ac:dyDescent="0.35">
      <c r="A59" s="1"/>
      <c r="B59" s="99" t="s">
        <v>146</v>
      </c>
      <c r="C59" s="100"/>
      <c r="D59" s="100"/>
      <c r="E59" s="100"/>
      <c r="F59" s="101"/>
      <c r="G59" s="22">
        <f>(G58)*'Fane 13. Nøgletal'!C33</f>
        <v>175603.59135679164</v>
      </c>
      <c r="H59" s="14" t="s">
        <v>3</v>
      </c>
      <c r="I59" s="1"/>
    </row>
    <row r="60" spans="1:9" x14ac:dyDescent="0.35">
      <c r="A60" s="1"/>
      <c r="B60" s="51"/>
      <c r="C60" s="52"/>
      <c r="D60" s="52"/>
      <c r="E60" s="52"/>
      <c r="F60" s="52"/>
      <c r="G60" s="35"/>
      <c r="H60" s="19"/>
      <c r="I60" s="1"/>
    </row>
    <row r="61" spans="1:9" x14ac:dyDescent="0.35">
      <c r="A61" s="1"/>
      <c r="B61" s="1"/>
      <c r="C61" s="1"/>
      <c r="D61" s="1"/>
      <c r="E61" s="1"/>
      <c r="F61" s="1"/>
      <c r="G61" s="36"/>
      <c r="H61" s="1"/>
      <c r="I61" s="1"/>
    </row>
    <row r="62" spans="1:9" x14ac:dyDescent="0.35">
      <c r="A62" s="1"/>
      <c r="B62" s="105" t="s">
        <v>220</v>
      </c>
      <c r="C62" s="106"/>
      <c r="D62" s="106"/>
      <c r="E62" s="106"/>
      <c r="F62" s="106"/>
      <c r="G62" s="106"/>
      <c r="H62" s="107"/>
      <c r="I62" s="1"/>
    </row>
    <row r="63" spans="1:9" x14ac:dyDescent="0.35">
      <c r="A63" s="1"/>
      <c r="B63" s="99" t="s">
        <v>221</v>
      </c>
      <c r="C63" s="100"/>
      <c r="D63" s="100"/>
      <c r="E63" s="100"/>
      <c r="F63" s="101"/>
      <c r="G63" s="22">
        <f>(G58-G59)*(1+'Fane 13. Nøgletal'!C16)</f>
        <v>9299825.7153825983</v>
      </c>
      <c r="H63" s="14" t="s">
        <v>3</v>
      </c>
      <c r="I63" s="1"/>
    </row>
    <row r="64" spans="1:9" x14ac:dyDescent="0.35">
      <c r="A64" s="1"/>
      <c r="B64" s="99" t="s">
        <v>222</v>
      </c>
      <c r="C64" s="100"/>
      <c r="D64" s="100"/>
      <c r="E64" s="100"/>
      <c r="F64" s="101"/>
      <c r="G64" s="22">
        <f>(G63)*'Fane 13. Nøgletal'!C33</f>
        <v>185996.51430765196</v>
      </c>
      <c r="H64" s="14" t="s">
        <v>3</v>
      </c>
      <c r="I64" s="1"/>
    </row>
    <row r="65" spans="1:9" x14ac:dyDescent="0.35">
      <c r="A65" s="1"/>
      <c r="B65" s="51"/>
      <c r="C65" s="52"/>
      <c r="D65" s="52"/>
      <c r="E65" s="52"/>
      <c r="F65" s="52"/>
      <c r="G65" s="49"/>
      <c r="H65" s="19"/>
      <c r="I65" s="1"/>
    </row>
    <row r="66" spans="1:9" x14ac:dyDescent="0.35">
      <c r="A66" s="1"/>
      <c r="B66" s="1"/>
      <c r="C66" s="1"/>
      <c r="D66" s="1"/>
      <c r="E66" s="1"/>
      <c r="F66" s="1"/>
      <c r="G66" s="36"/>
      <c r="H66" s="1"/>
      <c r="I66" s="1"/>
    </row>
    <row r="67" spans="1:9" x14ac:dyDescent="0.35">
      <c r="A67" s="1"/>
      <c r="B67" s="1"/>
      <c r="C67" s="1"/>
      <c r="D67" s="1"/>
      <c r="E67" s="1"/>
      <c r="F67" s="1"/>
      <c r="G67" s="36"/>
      <c r="H67" s="1"/>
      <c r="I67" s="1"/>
    </row>
    <row r="68" spans="1:9" x14ac:dyDescent="0.35">
      <c r="A68" s="1"/>
      <c r="B68" s="1"/>
      <c r="C68" s="1"/>
      <c r="D68" s="1"/>
      <c r="E68" s="1"/>
      <c r="F68" s="1"/>
      <c r="G68" s="36"/>
      <c r="H68" s="1"/>
      <c r="I68" s="1"/>
    </row>
    <row r="69" spans="1:9" x14ac:dyDescent="0.35">
      <c r="A69" s="1"/>
      <c r="B69" s="1"/>
      <c r="C69" s="1"/>
      <c r="D69" s="1"/>
      <c r="E69" s="1"/>
      <c r="F69" s="1"/>
      <c r="G69" s="36"/>
      <c r="H69" s="1"/>
      <c r="I69" s="1"/>
    </row>
    <row r="70" spans="1:9" x14ac:dyDescent="0.35">
      <c r="A70" s="1"/>
      <c r="B70" s="1"/>
      <c r="C70" s="1"/>
      <c r="D70" s="1"/>
      <c r="E70" s="1"/>
      <c r="F70" s="1"/>
      <c r="G70" s="36"/>
      <c r="H70" s="1"/>
      <c r="I70" s="1"/>
    </row>
    <row r="71" spans="1:9" x14ac:dyDescent="0.35">
      <c r="A71" s="1"/>
      <c r="B71" s="1"/>
      <c r="C71" s="1"/>
      <c r="D71" s="1"/>
      <c r="E71" s="1"/>
      <c r="F71" s="1"/>
      <c r="G71" s="36"/>
      <c r="H71" s="1"/>
      <c r="I71" s="1"/>
    </row>
    <row r="72" spans="1:9" x14ac:dyDescent="0.35">
      <c r="A72" s="1"/>
      <c r="B72" s="1"/>
      <c r="C72" s="1"/>
      <c r="D72" s="1"/>
      <c r="E72" s="1"/>
      <c r="F72" s="1"/>
      <c r="G72" s="36"/>
      <c r="H72" s="1"/>
      <c r="I72" s="1"/>
    </row>
    <row r="73" spans="1:9" x14ac:dyDescent="0.35">
      <c r="A73" s="1"/>
      <c r="B73" s="1"/>
      <c r="C73" s="1"/>
      <c r="D73" s="1"/>
      <c r="E73" s="1"/>
      <c r="F73" s="1"/>
      <c r="G73" s="36"/>
      <c r="H73" s="1"/>
      <c r="I73" s="1"/>
    </row>
    <row r="74" spans="1:9" x14ac:dyDescent="0.35">
      <c r="A74" s="1"/>
      <c r="B74" s="1"/>
      <c r="C74" s="1"/>
      <c r="D74" s="1"/>
      <c r="E74" s="1"/>
      <c r="F74" s="1"/>
      <c r="G74" s="36"/>
      <c r="H74" s="1"/>
      <c r="I74" s="1"/>
    </row>
    <row r="75" spans="1:9" x14ac:dyDescent="0.35">
      <c r="A75" s="1"/>
      <c r="B75" s="1"/>
      <c r="C75" s="1"/>
      <c r="D75" s="1"/>
      <c r="E75" s="1"/>
      <c r="F75" s="1"/>
      <c r="G75" s="36"/>
      <c r="H75" s="1"/>
      <c r="I75" s="1"/>
    </row>
    <row r="76" spans="1:9" x14ac:dyDescent="0.35">
      <c r="A76" s="1"/>
      <c r="B76" s="1"/>
      <c r="C76" s="1"/>
      <c r="D76" s="1"/>
      <c r="E76" s="1"/>
      <c r="F76" s="1"/>
      <c r="G76" s="36"/>
      <c r="H76" s="1"/>
      <c r="I76" s="1"/>
    </row>
    <row r="77" spans="1:9" x14ac:dyDescent="0.35">
      <c r="A77" s="1"/>
      <c r="B77" s="1"/>
      <c r="C77" s="1"/>
      <c r="D77" s="1"/>
      <c r="E77" s="1"/>
      <c r="F77" s="1"/>
      <c r="G77" s="36"/>
      <c r="H77" s="1"/>
      <c r="I77" s="1"/>
    </row>
    <row r="78" spans="1:9" x14ac:dyDescent="0.35">
      <c r="A78" s="1"/>
      <c r="B78" s="1"/>
      <c r="C78" s="1"/>
      <c r="D78" s="1"/>
      <c r="E78" s="1"/>
      <c r="F78" s="1"/>
      <c r="G78" s="36"/>
      <c r="H78" s="1"/>
      <c r="I78" s="1"/>
    </row>
    <row r="79" spans="1:9" x14ac:dyDescent="0.35">
      <c r="A79" s="1"/>
      <c r="B79" s="1"/>
      <c r="C79" s="1"/>
      <c r="D79" s="1"/>
      <c r="E79" s="1"/>
      <c r="F79" s="1"/>
      <c r="G79" s="36"/>
      <c r="H79" s="1"/>
      <c r="I79" s="1"/>
    </row>
    <row r="80" spans="1:9" x14ac:dyDescent="0.35">
      <c r="A80" s="1"/>
      <c r="B80" s="1"/>
      <c r="C80" s="1"/>
      <c r="D80" s="1"/>
      <c r="E80" s="1"/>
      <c r="F80" s="1"/>
      <c r="G80" s="36"/>
      <c r="H80" s="1"/>
      <c r="I80" s="1"/>
    </row>
    <row r="81" spans="1:9" x14ac:dyDescent="0.35">
      <c r="A81" s="1"/>
      <c r="B81" s="1"/>
      <c r="C81" s="1"/>
      <c r="D81" s="1"/>
      <c r="E81" s="1"/>
      <c r="F81" s="1"/>
      <c r="G81" s="36"/>
      <c r="H81" s="1"/>
      <c r="I81" s="1"/>
    </row>
    <row r="82" spans="1:9" x14ac:dyDescent="0.35">
      <c r="A82" s="1"/>
      <c r="B82" s="1"/>
      <c r="C82" s="1"/>
      <c r="D82" s="1"/>
      <c r="E82" s="1"/>
      <c r="F82" s="1"/>
      <c r="G82" s="36"/>
      <c r="H82" s="1"/>
      <c r="I82" s="1"/>
    </row>
    <row r="83" spans="1:9" x14ac:dyDescent="0.35">
      <c r="A83" s="1"/>
      <c r="B83" s="1"/>
      <c r="C83" s="1"/>
      <c r="D83" s="1"/>
      <c r="E83" s="1"/>
      <c r="F83" s="1"/>
      <c r="G83" s="36"/>
      <c r="H83" s="1"/>
      <c r="I83" s="1"/>
    </row>
    <row r="84" spans="1:9" x14ac:dyDescent="0.35">
      <c r="A84" s="1"/>
      <c r="B84" s="1"/>
      <c r="C84" s="1"/>
      <c r="D84" s="1"/>
      <c r="E84" s="1"/>
      <c r="F84" s="1"/>
      <c r="G84" s="36"/>
      <c r="H84" s="1"/>
      <c r="I84" s="1"/>
    </row>
    <row r="85" spans="1:9" x14ac:dyDescent="0.35">
      <c r="A85" s="1"/>
      <c r="B85" s="1"/>
      <c r="C85" s="1"/>
      <c r="D85" s="1"/>
      <c r="E85" s="1"/>
      <c r="F85" s="1"/>
      <c r="G85" s="36"/>
      <c r="H85" s="1"/>
      <c r="I85" s="1"/>
    </row>
    <row r="86" spans="1:9" x14ac:dyDescent="0.35">
      <c r="A86" s="1"/>
      <c r="B86" s="1"/>
      <c r="C86" s="1"/>
      <c r="D86" s="1"/>
      <c r="E86" s="1"/>
      <c r="F86" s="1"/>
      <c r="G86" s="36"/>
      <c r="H86" s="1"/>
      <c r="I86" s="1"/>
    </row>
    <row r="87" spans="1:9" x14ac:dyDescent="0.35">
      <c r="A87" s="1"/>
      <c r="B87" s="1"/>
      <c r="C87" s="1"/>
      <c r="D87" s="1"/>
      <c r="E87" s="1"/>
      <c r="F87" s="1"/>
      <c r="G87" s="36"/>
      <c r="H87" s="1"/>
      <c r="I87" s="1"/>
    </row>
    <row r="88" spans="1:9" x14ac:dyDescent="0.35">
      <c r="A88" s="1"/>
      <c r="B88" s="1"/>
      <c r="C88" s="1"/>
      <c r="D88" s="1"/>
      <c r="E88" s="1"/>
      <c r="F88" s="1"/>
      <c r="G88" s="36"/>
      <c r="H88" s="1"/>
      <c r="I88" s="1"/>
    </row>
    <row r="89" spans="1:9" x14ac:dyDescent="0.35">
      <c r="A89" s="1"/>
      <c r="B89" s="1"/>
      <c r="C89" s="1"/>
      <c r="D89" s="1"/>
      <c r="E89" s="1"/>
      <c r="F89" s="1"/>
      <c r="G89" s="36"/>
      <c r="H89" s="1"/>
      <c r="I89" s="1"/>
    </row>
    <row r="90" spans="1:9" x14ac:dyDescent="0.35">
      <c r="A90" s="1"/>
      <c r="B90" s="1"/>
      <c r="C90" s="1"/>
      <c r="D90" s="1"/>
      <c r="E90" s="1"/>
      <c r="F90" s="1"/>
      <c r="G90" s="36"/>
      <c r="H90" s="1"/>
      <c r="I90" s="1"/>
    </row>
    <row r="91" spans="1:9" x14ac:dyDescent="0.35">
      <c r="A91" s="1"/>
      <c r="B91" s="1"/>
      <c r="C91" s="1"/>
      <c r="D91" s="1"/>
      <c r="E91" s="1"/>
      <c r="F91" s="1"/>
      <c r="G91" s="36"/>
      <c r="H91" s="1"/>
      <c r="I91" s="1"/>
    </row>
    <row r="92" spans="1:9" x14ac:dyDescent="0.35">
      <c r="A92" s="1"/>
      <c r="B92" s="1"/>
      <c r="C92" s="1"/>
      <c r="D92" s="1"/>
      <c r="E92" s="1"/>
      <c r="F92" s="1"/>
      <c r="G92" s="36"/>
      <c r="H92" s="1"/>
      <c r="I92" s="1"/>
    </row>
    <row r="93" spans="1:9" x14ac:dyDescent="0.35">
      <c r="A93" s="1"/>
      <c r="B93" s="1"/>
      <c r="C93" s="1"/>
      <c r="D93" s="1"/>
      <c r="E93" s="1"/>
      <c r="F93" s="1"/>
      <c r="G93" s="36"/>
      <c r="H93" s="1"/>
      <c r="I93" s="1"/>
    </row>
    <row r="94" spans="1:9" x14ac:dyDescent="0.35">
      <c r="A94" s="1"/>
      <c r="B94" s="1"/>
      <c r="C94" s="1"/>
      <c r="D94" s="1"/>
      <c r="E94" s="1"/>
      <c r="F94" s="1"/>
      <c r="G94" s="36"/>
      <c r="H94" s="1"/>
      <c r="I94" s="1"/>
    </row>
    <row r="95" spans="1:9" x14ac:dyDescent="0.35">
      <c r="A95" s="1"/>
      <c r="B95" s="1"/>
      <c r="C95" s="1"/>
      <c r="D95" s="1"/>
      <c r="E95" s="1"/>
      <c r="F95" s="1"/>
      <c r="G95" s="36"/>
      <c r="H95" s="1"/>
      <c r="I95" s="1"/>
    </row>
    <row r="96" spans="1:9" x14ac:dyDescent="0.35">
      <c r="A96" s="1"/>
      <c r="B96" s="1"/>
      <c r="C96" s="1"/>
      <c r="D96" s="1"/>
      <c r="E96" s="1"/>
      <c r="F96" s="1"/>
      <c r="G96" s="36"/>
      <c r="H96" s="1"/>
      <c r="I96" s="1"/>
    </row>
    <row r="97" spans="1:9" x14ac:dyDescent="0.35">
      <c r="A97" s="1"/>
      <c r="B97" s="1"/>
      <c r="C97" s="1"/>
      <c r="D97" s="1"/>
      <c r="E97" s="1"/>
      <c r="F97" s="1"/>
      <c r="G97" s="36"/>
      <c r="H97" s="1"/>
      <c r="I97" s="1"/>
    </row>
    <row r="98" spans="1:9" x14ac:dyDescent="0.35">
      <c r="A98" s="1"/>
      <c r="B98" s="1"/>
      <c r="C98" s="1"/>
      <c r="D98" s="1"/>
      <c r="E98" s="1"/>
      <c r="F98" s="1"/>
      <c r="G98" s="36"/>
      <c r="H98" s="1"/>
      <c r="I98" s="1"/>
    </row>
    <row r="99" spans="1:9" x14ac:dyDescent="0.35">
      <c r="A99" s="1"/>
      <c r="B99" s="1"/>
      <c r="C99" s="1"/>
      <c r="D99" s="1"/>
      <c r="E99" s="1"/>
      <c r="F99" s="1"/>
      <c r="G99" s="36"/>
      <c r="H99" s="1"/>
      <c r="I99" s="1"/>
    </row>
    <row r="100" spans="1:9" x14ac:dyDescent="0.35">
      <c r="A100" s="1"/>
      <c r="B100" s="1"/>
      <c r="C100" s="1"/>
      <c r="D100" s="1"/>
      <c r="E100" s="1"/>
      <c r="F100" s="1"/>
      <c r="G100" s="36"/>
      <c r="H100" s="1"/>
      <c r="I100" s="1"/>
    </row>
  </sheetData>
  <sheetProtection algorithmName="SHA-512" hashValue="PlQIXuUlX8QdFOnePeXvOwPvFOauIDS7EfJL3162jposBp7A0aMkxQnwsw7HDwIZi1IN6V6qSTAheig+zoIi3Q==" saltValue="K3Q6llWNOaAN18V6SGTo8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796875" defaultRowHeight="14.5" x14ac:dyDescent="0.35"/>
  <cols>
    <col min="1" max="1" width="2.81640625" style="2" customWidth="1"/>
    <col min="2" max="5" width="9.1796875" style="2"/>
    <col min="6" max="6" width="25.7265625" style="2" customWidth="1"/>
    <col min="7" max="7" width="10.26953125" style="2" customWidth="1"/>
    <col min="8" max="8" width="2.81640625" style="2" bestFit="1" customWidth="1"/>
    <col min="9" max="9" width="2.81640625" style="2" customWidth="1"/>
    <col min="10" max="16384" width="9.1796875" style="2"/>
  </cols>
  <sheetData>
    <row r="1" spans="1:9" x14ac:dyDescent="0.35">
      <c r="A1" s="1"/>
      <c r="B1" s="108" t="s">
        <v>91</v>
      </c>
      <c r="C1" s="109"/>
      <c r="D1" s="109"/>
      <c r="E1" s="109"/>
      <c r="F1" s="109"/>
      <c r="G1" s="109"/>
      <c r="H1" s="109"/>
      <c r="I1" s="1"/>
    </row>
    <row r="2" spans="1:9" ht="19.899999999999999" customHeight="1" x14ac:dyDescent="0.35">
      <c r="A2" s="1"/>
      <c r="B2" s="109"/>
      <c r="C2" s="109"/>
      <c r="D2" s="109"/>
      <c r="E2" s="109"/>
      <c r="F2" s="109"/>
      <c r="G2" s="109"/>
      <c r="H2" s="109"/>
      <c r="I2" s="1"/>
    </row>
    <row r="3" spans="1:9" ht="15" customHeight="1" x14ac:dyDescent="0.35">
      <c r="A3" s="1"/>
      <c r="B3" s="110"/>
      <c r="C3" s="110"/>
      <c r="D3" s="110"/>
      <c r="E3" s="110"/>
      <c r="F3" s="110"/>
      <c r="G3" s="110"/>
      <c r="H3" s="110"/>
      <c r="I3" s="1"/>
    </row>
    <row r="4" spans="1:9" x14ac:dyDescent="0.35">
      <c r="A4" s="1"/>
      <c r="B4" s="105" t="s">
        <v>48</v>
      </c>
      <c r="C4" s="106"/>
      <c r="D4" s="106"/>
      <c r="E4" s="106"/>
      <c r="F4" s="106"/>
      <c r="G4" s="106"/>
      <c r="H4" s="107"/>
      <c r="I4" s="1"/>
    </row>
    <row r="5" spans="1:9" x14ac:dyDescent="0.35">
      <c r="A5" s="1"/>
      <c r="B5" s="99" t="s">
        <v>51</v>
      </c>
      <c r="C5" s="100"/>
      <c r="D5" s="100"/>
      <c r="E5" s="100"/>
      <c r="F5" s="101"/>
      <c r="G5" s="47">
        <v>9926883</v>
      </c>
      <c r="H5" s="14" t="s">
        <v>3</v>
      </c>
      <c r="I5" s="1"/>
    </row>
    <row r="6" spans="1:9" x14ac:dyDescent="0.35">
      <c r="A6" s="1"/>
      <c r="B6" s="99" t="s">
        <v>49</v>
      </c>
      <c r="C6" s="100"/>
      <c r="D6" s="100"/>
      <c r="E6" s="100"/>
      <c r="F6" s="101"/>
      <c r="G6" s="22">
        <f>G5*'Fane 13. Nøgletal'!C21</f>
        <v>90334.635300000009</v>
      </c>
      <c r="H6" s="14" t="s">
        <v>3</v>
      </c>
      <c r="I6" s="1"/>
    </row>
    <row r="7" spans="1:9" x14ac:dyDescent="0.35">
      <c r="A7" s="1"/>
      <c r="B7" s="51"/>
      <c r="C7" s="52"/>
      <c r="D7" s="52"/>
      <c r="E7" s="52"/>
      <c r="F7" s="52"/>
      <c r="G7" s="52"/>
      <c r="H7" s="19"/>
      <c r="I7" s="1"/>
    </row>
    <row r="8" spans="1:9" x14ac:dyDescent="0.35">
      <c r="A8" s="1"/>
      <c r="B8" s="1"/>
      <c r="C8" s="1"/>
      <c r="D8" s="1"/>
      <c r="E8" s="1"/>
      <c r="F8" s="1"/>
      <c r="G8" s="1"/>
      <c r="H8" s="1"/>
      <c r="I8" s="1"/>
    </row>
    <row r="9" spans="1:9" x14ac:dyDescent="0.35">
      <c r="A9" s="1"/>
      <c r="B9" s="105" t="s">
        <v>52</v>
      </c>
      <c r="C9" s="106"/>
      <c r="D9" s="106"/>
      <c r="E9" s="106"/>
      <c r="F9" s="106"/>
      <c r="G9" s="106"/>
      <c r="H9" s="107"/>
      <c r="I9" s="1"/>
    </row>
    <row r="10" spans="1:9" x14ac:dyDescent="0.35">
      <c r="A10" s="1"/>
      <c r="B10" s="99" t="s">
        <v>53</v>
      </c>
      <c r="C10" s="100"/>
      <c r="D10" s="100"/>
      <c r="E10" s="100"/>
      <c r="F10" s="101"/>
      <c r="G10" s="22">
        <f>(G5-G6)*(1+'Fane 13. Nøgletal'!C9)</f>
        <v>9961472.5289316904</v>
      </c>
      <c r="H10" s="14" t="s">
        <v>3</v>
      </c>
      <c r="I10" s="1"/>
    </row>
    <row r="11" spans="1:9" x14ac:dyDescent="0.35">
      <c r="A11" s="1"/>
      <c r="B11" s="102" t="s">
        <v>54</v>
      </c>
      <c r="C11" s="103"/>
      <c r="D11" s="103"/>
      <c r="E11" s="103"/>
      <c r="F11" s="104"/>
      <c r="G11" s="48">
        <v>0</v>
      </c>
      <c r="H11" s="14" t="s">
        <v>3</v>
      </c>
      <c r="I11" s="1"/>
    </row>
    <row r="12" spans="1:9" x14ac:dyDescent="0.35">
      <c r="A12" s="1"/>
      <c r="B12" s="99" t="s">
        <v>55</v>
      </c>
      <c r="C12" s="100"/>
      <c r="D12" s="100"/>
      <c r="E12" s="100"/>
      <c r="F12" s="101"/>
      <c r="G12" s="22">
        <f>G10*'Fane 13. Nøgletal'!C21+G11*'Fane 13. Nøgletal'!C22</f>
        <v>90649.400013278384</v>
      </c>
      <c r="H12" s="14" t="s">
        <v>3</v>
      </c>
      <c r="I12" s="1"/>
    </row>
    <row r="13" spans="1:9" x14ac:dyDescent="0.35">
      <c r="A13" s="1"/>
      <c r="B13" s="51"/>
      <c r="C13" s="52"/>
      <c r="D13" s="52"/>
      <c r="E13" s="52"/>
      <c r="F13" s="52"/>
      <c r="G13" s="52"/>
      <c r="H13" s="19"/>
      <c r="I13" s="1"/>
    </row>
    <row r="14" spans="1:9" x14ac:dyDescent="0.35">
      <c r="A14" s="1"/>
      <c r="B14" s="1"/>
      <c r="C14" s="1"/>
      <c r="D14" s="1"/>
      <c r="E14" s="1"/>
      <c r="F14" s="1"/>
      <c r="G14" s="1"/>
      <c r="H14" s="1"/>
      <c r="I14" s="1"/>
    </row>
    <row r="15" spans="1:9" x14ac:dyDescent="0.35">
      <c r="A15" s="1"/>
      <c r="B15" s="105" t="s">
        <v>56</v>
      </c>
      <c r="C15" s="106"/>
      <c r="D15" s="106"/>
      <c r="E15" s="106"/>
      <c r="F15" s="106"/>
      <c r="G15" s="106"/>
      <c r="H15" s="107"/>
      <c r="I15" s="1"/>
    </row>
    <row r="16" spans="1:9" x14ac:dyDescent="0.35">
      <c r="A16" s="1"/>
      <c r="B16" s="99" t="s">
        <v>57</v>
      </c>
      <c r="C16" s="100"/>
      <c r="D16" s="100"/>
      <c r="E16" s="100"/>
      <c r="F16" s="101"/>
      <c r="G16" s="22">
        <f>(G10+G11-G12)*(1+'Fane 13. Nøgletal'!C11)</f>
        <v>10037640.039797131</v>
      </c>
      <c r="H16" s="14" t="s">
        <v>3</v>
      </c>
      <c r="I16" s="1"/>
    </row>
    <row r="17" spans="1:9" x14ac:dyDescent="0.35">
      <c r="A17" s="1"/>
      <c r="B17" s="99" t="s">
        <v>101</v>
      </c>
      <c r="C17" s="100"/>
      <c r="D17" s="100"/>
      <c r="E17" s="100"/>
      <c r="F17" s="101"/>
      <c r="G17" s="47">
        <v>26707.150296928437</v>
      </c>
      <c r="H17" s="14" t="s">
        <v>3</v>
      </c>
      <c r="I17" s="1"/>
    </row>
    <row r="18" spans="1:9" x14ac:dyDescent="0.35">
      <c r="A18" s="1"/>
      <c r="B18" s="102" t="s">
        <v>58</v>
      </c>
      <c r="C18" s="103"/>
      <c r="D18" s="103"/>
      <c r="E18" s="103"/>
      <c r="F18" s="104"/>
      <c r="G18" s="47">
        <v>13334.533940949997</v>
      </c>
      <c r="H18" s="14" t="s">
        <v>3</v>
      </c>
      <c r="I18" s="1"/>
    </row>
    <row r="19" spans="1:9" x14ac:dyDescent="0.35">
      <c r="A19" s="1"/>
      <c r="B19" s="99" t="s">
        <v>59</v>
      </c>
      <c r="C19" s="100"/>
      <c r="D19" s="100"/>
      <c r="E19" s="100"/>
      <c r="F19" s="101"/>
      <c r="G19" s="22">
        <f>(G16+G17+G18)*'Fane 13. Nøgletal'!C23</f>
        <v>87675.830999104583</v>
      </c>
      <c r="H19" s="14" t="s">
        <v>3</v>
      </c>
      <c r="I19" s="1"/>
    </row>
    <row r="20" spans="1:9" x14ac:dyDescent="0.35">
      <c r="A20" s="1"/>
      <c r="B20" s="51"/>
      <c r="C20" s="52"/>
      <c r="D20" s="52"/>
      <c r="E20" s="52"/>
      <c r="F20" s="52"/>
      <c r="G20" s="52"/>
      <c r="H20" s="19"/>
      <c r="I20" s="1"/>
    </row>
    <row r="21" spans="1:9" x14ac:dyDescent="0.35">
      <c r="A21" s="1"/>
      <c r="B21" s="1"/>
      <c r="C21" s="1"/>
      <c r="D21" s="1"/>
      <c r="E21" s="1"/>
      <c r="F21" s="1"/>
      <c r="G21" s="1"/>
      <c r="H21" s="1"/>
      <c r="I21" s="1"/>
    </row>
    <row r="22" spans="1:9" x14ac:dyDescent="0.35">
      <c r="A22" s="1"/>
      <c r="B22" s="105" t="s">
        <v>60</v>
      </c>
      <c r="C22" s="106"/>
      <c r="D22" s="106"/>
      <c r="E22" s="106"/>
      <c r="F22" s="106"/>
      <c r="G22" s="106"/>
      <c r="H22" s="107"/>
      <c r="I22" s="1"/>
    </row>
    <row r="23" spans="1:9" x14ac:dyDescent="0.35">
      <c r="A23" s="1"/>
      <c r="B23" s="99" t="s">
        <v>61</v>
      </c>
      <c r="C23" s="100"/>
      <c r="D23" s="100"/>
      <c r="E23" s="100"/>
      <c r="F23" s="101"/>
      <c r="G23" s="22">
        <f>(SUM(G16:G18)-G19)*(1+'Fane 13. Nøgletal'!C11)</f>
        <v>10158836.992628211</v>
      </c>
      <c r="H23" s="14" t="s">
        <v>3</v>
      </c>
      <c r="I23" s="1"/>
    </row>
    <row r="24" spans="1:9" x14ac:dyDescent="0.35">
      <c r="A24" s="1"/>
      <c r="B24" s="102" t="s">
        <v>62</v>
      </c>
      <c r="C24" s="103"/>
      <c r="D24" s="103"/>
      <c r="E24" s="103"/>
      <c r="F24" s="104"/>
      <c r="G24" s="47">
        <v>0</v>
      </c>
      <c r="H24" s="14" t="s">
        <v>3</v>
      </c>
      <c r="I24" s="1"/>
    </row>
    <row r="25" spans="1:9" x14ac:dyDescent="0.35">
      <c r="A25" s="1"/>
      <c r="B25" s="99" t="s">
        <v>63</v>
      </c>
      <c r="C25" s="100"/>
      <c r="D25" s="100"/>
      <c r="E25" s="100"/>
      <c r="F25" s="101"/>
      <c r="G25" s="22">
        <f>G23*'Fane 13. Nøgletal'!C23+G24*'Fane 13. Nøgletal'!C24</f>
        <v>88381.881835865424</v>
      </c>
      <c r="H25" s="14" t="s">
        <v>3</v>
      </c>
      <c r="I25" s="1"/>
    </row>
    <row r="26" spans="1:9" x14ac:dyDescent="0.35">
      <c r="A26" s="1"/>
      <c r="B26" s="51"/>
      <c r="C26" s="52"/>
      <c r="D26" s="52"/>
      <c r="E26" s="52"/>
      <c r="F26" s="52"/>
      <c r="G26" s="52"/>
      <c r="H26" s="19"/>
      <c r="I26" s="1"/>
    </row>
    <row r="27" spans="1:9" x14ac:dyDescent="0.35">
      <c r="A27" s="1"/>
      <c r="B27" s="1"/>
      <c r="C27" s="1"/>
      <c r="D27" s="1"/>
      <c r="E27" s="1"/>
      <c r="F27" s="1"/>
      <c r="G27" s="1"/>
      <c r="H27" s="1"/>
      <c r="I27" s="1"/>
    </row>
    <row r="28" spans="1:9" x14ac:dyDescent="0.35">
      <c r="A28" s="1"/>
      <c r="B28" s="105" t="s">
        <v>119</v>
      </c>
      <c r="C28" s="106"/>
      <c r="D28" s="106"/>
      <c r="E28" s="106"/>
      <c r="F28" s="106"/>
      <c r="G28" s="106"/>
      <c r="H28" s="107"/>
      <c r="I28" s="1"/>
    </row>
    <row r="29" spans="1:9" x14ac:dyDescent="0.35">
      <c r="A29" s="1"/>
      <c r="B29" s="99" t="s">
        <v>64</v>
      </c>
      <c r="C29" s="100"/>
      <c r="D29" s="100"/>
      <c r="E29" s="100"/>
      <c r="F29" s="101"/>
      <c r="G29" s="22">
        <f>(G23+G24-G25)*(1+'Fane 13. Nøgletal'!C13)</f>
        <v>10193314.663144013</v>
      </c>
      <c r="H29" s="14" t="s">
        <v>3</v>
      </c>
      <c r="I29" s="1"/>
    </row>
    <row r="30" spans="1:9" x14ac:dyDescent="0.35">
      <c r="A30" s="1"/>
      <c r="B30" s="99" t="s">
        <v>113</v>
      </c>
      <c r="C30" s="100"/>
      <c r="D30" s="100"/>
      <c r="E30" s="100"/>
      <c r="F30" s="101"/>
      <c r="G30" s="47">
        <v>0</v>
      </c>
      <c r="H30" s="14" t="s">
        <v>3</v>
      </c>
      <c r="I30" s="1"/>
    </row>
    <row r="31" spans="1:9" x14ac:dyDescent="0.35">
      <c r="A31" s="1"/>
      <c r="B31" s="99" t="s">
        <v>120</v>
      </c>
      <c r="C31" s="100"/>
      <c r="D31" s="100"/>
      <c r="E31" s="100"/>
      <c r="F31" s="101"/>
      <c r="G31" s="22">
        <f>(G29+G30)*'Fane 13. Nøgletal'!C25</f>
        <v>280316.15323646035</v>
      </c>
      <c r="H31" s="14" t="s">
        <v>3</v>
      </c>
      <c r="I31" s="1"/>
    </row>
    <row r="32" spans="1:9" x14ac:dyDescent="0.35">
      <c r="A32" s="1"/>
      <c r="B32" s="51"/>
      <c r="C32" s="52"/>
      <c r="D32" s="52"/>
      <c r="E32" s="52"/>
      <c r="F32" s="52"/>
      <c r="G32" s="52"/>
      <c r="H32" s="19"/>
      <c r="I32" s="1"/>
    </row>
    <row r="33" spans="1:9" x14ac:dyDescent="0.35">
      <c r="A33" s="1"/>
      <c r="B33" s="1"/>
      <c r="C33" s="1"/>
      <c r="D33" s="1"/>
      <c r="E33" s="1"/>
      <c r="F33" s="1"/>
      <c r="G33" s="1"/>
      <c r="H33" s="1"/>
      <c r="I33" s="1"/>
    </row>
    <row r="34" spans="1:9" x14ac:dyDescent="0.35">
      <c r="A34" s="1"/>
      <c r="B34" s="105" t="s">
        <v>124</v>
      </c>
      <c r="C34" s="106"/>
      <c r="D34" s="106"/>
      <c r="E34" s="106"/>
      <c r="F34" s="106"/>
      <c r="G34" s="106"/>
      <c r="H34" s="107"/>
      <c r="I34" s="1"/>
    </row>
    <row r="35" spans="1:9" x14ac:dyDescent="0.35">
      <c r="A35" s="1"/>
      <c r="B35" s="99" t="s">
        <v>67</v>
      </c>
      <c r="C35" s="100"/>
      <c r="D35" s="100"/>
      <c r="E35" s="100"/>
      <c r="F35" s="101"/>
      <c r="G35" s="22">
        <f>(G29+G30-G31)*(1+'Fane 13. Nøgletal'!C13)</f>
        <v>10033937.091728425</v>
      </c>
      <c r="H35" s="14" t="s">
        <v>3</v>
      </c>
      <c r="I35" s="1"/>
    </row>
    <row r="36" spans="1:9" x14ac:dyDescent="0.35">
      <c r="A36" s="1"/>
      <c r="B36" s="99" t="s">
        <v>129</v>
      </c>
      <c r="C36" s="100"/>
      <c r="D36" s="100"/>
      <c r="E36" s="100"/>
      <c r="F36" s="101"/>
      <c r="G36" s="47">
        <v>0</v>
      </c>
      <c r="H36" s="14" t="s">
        <v>3</v>
      </c>
      <c r="I36" s="1"/>
    </row>
    <row r="37" spans="1:9" x14ac:dyDescent="0.35">
      <c r="A37" s="1"/>
      <c r="B37" s="99" t="s">
        <v>125</v>
      </c>
      <c r="C37" s="100"/>
      <c r="D37" s="100"/>
      <c r="E37" s="100"/>
      <c r="F37" s="101"/>
      <c r="G37" s="22">
        <f>G35*'Fane 13. Nøgletal'!C25+G36*'Fane 13. Nøgletal'!C26</f>
        <v>275933.27002253168</v>
      </c>
      <c r="H37" s="14" t="s">
        <v>3</v>
      </c>
      <c r="I37" s="1"/>
    </row>
    <row r="38" spans="1:9" x14ac:dyDescent="0.35">
      <c r="A38" s="1"/>
      <c r="B38" s="51"/>
      <c r="C38" s="52"/>
      <c r="D38" s="52"/>
      <c r="E38" s="52"/>
      <c r="F38" s="52"/>
      <c r="G38" s="52"/>
      <c r="H38" s="19"/>
      <c r="I38" s="1"/>
    </row>
    <row r="39" spans="1:9" x14ac:dyDescent="0.35">
      <c r="A39" s="1"/>
      <c r="B39" s="1"/>
      <c r="C39" s="1"/>
      <c r="D39" s="1"/>
      <c r="E39" s="1"/>
      <c r="F39" s="1"/>
      <c r="G39" s="1"/>
      <c r="H39" s="1"/>
      <c r="I39" s="1"/>
    </row>
    <row r="40" spans="1:9" x14ac:dyDescent="0.35">
      <c r="A40" s="1"/>
      <c r="B40" s="105" t="s">
        <v>159</v>
      </c>
      <c r="C40" s="106"/>
      <c r="D40" s="106"/>
      <c r="E40" s="106"/>
      <c r="F40" s="106"/>
      <c r="G40" s="106"/>
      <c r="H40" s="107"/>
      <c r="I40" s="1"/>
    </row>
    <row r="41" spans="1:9" x14ac:dyDescent="0.35">
      <c r="A41" s="1"/>
      <c r="B41" s="99" t="s">
        <v>66</v>
      </c>
      <c r="C41" s="100"/>
      <c r="D41" s="100"/>
      <c r="E41" s="100"/>
      <c r="F41" s="101"/>
      <c r="G41" s="22">
        <f>(G35+G36-G37)*(1+'Fane 13. Nøgletal'!C15)</f>
        <v>10105388.757758623</v>
      </c>
      <c r="H41" s="14" t="s">
        <v>3</v>
      </c>
      <c r="I41" s="1"/>
    </row>
    <row r="42" spans="1:9" x14ac:dyDescent="0.35">
      <c r="A42" s="1"/>
      <c r="B42" s="99" t="s">
        <v>169</v>
      </c>
      <c r="C42" s="100"/>
      <c r="D42" s="100"/>
      <c r="E42" s="100"/>
      <c r="F42" s="101"/>
      <c r="G42" s="9">
        <v>0</v>
      </c>
      <c r="H42" s="14" t="s">
        <v>3</v>
      </c>
      <c r="I42" s="1"/>
    </row>
    <row r="43" spans="1:9" x14ac:dyDescent="0.35">
      <c r="A43" s="1"/>
      <c r="B43" s="99" t="s">
        <v>65</v>
      </c>
      <c r="C43" s="100"/>
      <c r="D43" s="100"/>
      <c r="E43" s="100"/>
      <c r="F43" s="101"/>
      <c r="G43" s="55">
        <f>(G41+G42)*'Fane 13. Nøgletal'!C27</f>
        <v>0</v>
      </c>
      <c r="H43" s="14" t="s">
        <v>3</v>
      </c>
      <c r="I43" s="1"/>
    </row>
    <row r="44" spans="1:9" x14ac:dyDescent="0.35">
      <c r="A44" s="1"/>
      <c r="B44" s="51"/>
      <c r="C44" s="52"/>
      <c r="D44" s="52"/>
      <c r="E44" s="52"/>
      <c r="F44" s="52"/>
      <c r="G44" s="52"/>
      <c r="H44" s="19"/>
      <c r="I44" s="1"/>
    </row>
    <row r="45" spans="1:9" ht="12" customHeight="1" x14ac:dyDescent="0.35">
      <c r="A45" s="1"/>
      <c r="B45" s="1"/>
      <c r="C45" s="1"/>
      <c r="D45" s="1"/>
      <c r="E45" s="1"/>
      <c r="F45" s="1"/>
      <c r="G45" s="1"/>
      <c r="H45" s="1"/>
      <c r="I45" s="1"/>
    </row>
    <row r="46" spans="1:9" x14ac:dyDescent="0.35">
      <c r="A46" s="1"/>
      <c r="B46" s="105" t="s">
        <v>160</v>
      </c>
      <c r="C46" s="106"/>
      <c r="D46" s="106"/>
      <c r="E46" s="106"/>
      <c r="F46" s="106"/>
      <c r="G46" s="106"/>
      <c r="H46" s="107"/>
      <c r="I46" s="1"/>
    </row>
    <row r="47" spans="1:9" x14ac:dyDescent="0.35">
      <c r="A47" s="1"/>
      <c r="B47" s="99" t="s">
        <v>114</v>
      </c>
      <c r="C47" s="100"/>
      <c r="D47" s="100"/>
      <c r="E47" s="100"/>
      <c r="F47" s="101"/>
      <c r="G47" s="22">
        <f>(G41+G42-G43)*(1+'Fane 13. Nøgletal'!C15)</f>
        <v>10465140.597534832</v>
      </c>
      <c r="H47" s="14" t="s">
        <v>3</v>
      </c>
      <c r="I47" s="1"/>
    </row>
    <row r="48" spans="1:9" x14ac:dyDescent="0.35">
      <c r="A48" s="1"/>
      <c r="B48" s="99" t="s">
        <v>210</v>
      </c>
      <c r="C48" s="100"/>
      <c r="D48" s="100"/>
      <c r="E48" s="100"/>
      <c r="F48" s="101"/>
      <c r="G48" s="55">
        <f>('Fane 2.1. Økonomisk ramme 2024'!C10+'Fane 2.1. Økonomisk ramme 2024'!C12+'Fane 2.1. Økonomisk ramme 2024'!C14)*(1+'Fane 13. Nøgletal'!C16)</f>
        <v>0</v>
      </c>
      <c r="H48" s="14" t="s">
        <v>3</v>
      </c>
      <c r="I48" s="1"/>
    </row>
    <row r="49" spans="1:9" x14ac:dyDescent="0.35">
      <c r="A49" s="1"/>
      <c r="B49" s="99" t="s">
        <v>211</v>
      </c>
      <c r="C49" s="100"/>
      <c r="D49" s="100"/>
      <c r="E49" s="100"/>
      <c r="F49" s="101"/>
      <c r="G49" s="55">
        <f>(G47)*'Fane 13. Nøgletal'!C27+G48*'Fane 13. Nøgletal'!C28</f>
        <v>0</v>
      </c>
      <c r="H49" s="14" t="s">
        <v>3</v>
      </c>
      <c r="I49" s="1"/>
    </row>
    <row r="50" spans="1:9" x14ac:dyDescent="0.35">
      <c r="A50" s="1"/>
      <c r="B50" s="51"/>
      <c r="C50" s="52"/>
      <c r="D50" s="52"/>
      <c r="E50" s="52"/>
      <c r="F50" s="52"/>
      <c r="G50" s="52"/>
      <c r="H50" s="19"/>
      <c r="I50" s="1"/>
    </row>
    <row r="51" spans="1:9" x14ac:dyDescent="0.35">
      <c r="A51" s="1"/>
      <c r="B51" s="1"/>
      <c r="C51" s="1"/>
      <c r="D51" s="1"/>
      <c r="E51" s="1"/>
      <c r="F51" s="1"/>
      <c r="G51" s="1"/>
      <c r="H51" s="1"/>
      <c r="I51" s="1"/>
    </row>
    <row r="52" spans="1:9" x14ac:dyDescent="0.35">
      <c r="A52" s="1"/>
      <c r="B52" s="105" t="s">
        <v>130</v>
      </c>
      <c r="C52" s="106"/>
      <c r="D52" s="106"/>
      <c r="E52" s="106"/>
      <c r="F52" s="106"/>
      <c r="G52" s="106"/>
      <c r="H52" s="107"/>
      <c r="I52" s="1"/>
    </row>
    <row r="53" spans="1:9" x14ac:dyDescent="0.35">
      <c r="A53" s="1"/>
      <c r="B53" s="99" t="s">
        <v>131</v>
      </c>
      <c r="C53" s="100"/>
      <c r="D53" s="100"/>
      <c r="E53" s="100"/>
      <c r="F53" s="101"/>
      <c r="G53" s="22">
        <f>(G47+G48-G49)*(1+'Fane 13. Nøgletal'!C16)</f>
        <v>11310723.957815645</v>
      </c>
      <c r="H53" s="14" t="s">
        <v>3</v>
      </c>
      <c r="I53" s="1"/>
    </row>
    <row r="54" spans="1:9" x14ac:dyDescent="0.35">
      <c r="A54" s="1"/>
      <c r="B54" s="99" t="s">
        <v>132</v>
      </c>
      <c r="C54" s="100"/>
      <c r="D54" s="100"/>
      <c r="E54" s="100"/>
      <c r="F54" s="101"/>
      <c r="G54" s="55">
        <f>(G53)*'Fane 13. Nøgletal'!C28</f>
        <v>0</v>
      </c>
      <c r="H54" s="14" t="s">
        <v>3</v>
      </c>
      <c r="I54" s="1"/>
    </row>
    <row r="55" spans="1:9" x14ac:dyDescent="0.35">
      <c r="A55" s="1"/>
      <c r="B55" s="51"/>
      <c r="C55" s="52"/>
      <c r="D55" s="52"/>
      <c r="E55" s="52"/>
      <c r="F55" s="52"/>
      <c r="G55" s="52"/>
      <c r="H55" s="19"/>
      <c r="I55" s="1"/>
    </row>
    <row r="56" spans="1:9" x14ac:dyDescent="0.35">
      <c r="A56" s="1"/>
      <c r="B56" s="1"/>
      <c r="C56" s="1"/>
      <c r="D56" s="1"/>
      <c r="E56" s="1"/>
      <c r="F56" s="1"/>
      <c r="G56" s="1"/>
      <c r="H56" s="1"/>
      <c r="I56" s="1"/>
    </row>
    <row r="57" spans="1:9" x14ac:dyDescent="0.35">
      <c r="A57" s="1"/>
      <c r="B57" s="105" t="s">
        <v>147</v>
      </c>
      <c r="C57" s="106"/>
      <c r="D57" s="106"/>
      <c r="E57" s="106"/>
      <c r="F57" s="106"/>
      <c r="G57" s="106"/>
      <c r="H57" s="107"/>
      <c r="I57" s="1"/>
    </row>
    <row r="58" spans="1:9" x14ac:dyDescent="0.35">
      <c r="A58" s="1"/>
      <c r="B58" s="99" t="s">
        <v>148</v>
      </c>
      <c r="C58" s="100"/>
      <c r="D58" s="100"/>
      <c r="E58" s="100"/>
      <c r="F58" s="101"/>
      <c r="G58" s="22">
        <f>(G53-G54)*(1+'Fane 13. Nøgletal'!C16)</f>
        <v>12224630.453607149</v>
      </c>
      <c r="H58" s="14" t="s">
        <v>3</v>
      </c>
      <c r="I58" s="1"/>
    </row>
    <row r="59" spans="1:9" x14ac:dyDescent="0.35">
      <c r="A59" s="1"/>
      <c r="B59" s="99" t="s">
        <v>149</v>
      </c>
      <c r="C59" s="100"/>
      <c r="D59" s="100"/>
      <c r="E59" s="100"/>
      <c r="F59" s="101"/>
      <c r="G59" s="55">
        <f>(G58)*'Fane 13. Nøgletal'!C28</f>
        <v>0</v>
      </c>
      <c r="H59" s="14" t="s">
        <v>3</v>
      </c>
      <c r="I59" s="1"/>
    </row>
    <row r="60" spans="1:9" x14ac:dyDescent="0.35">
      <c r="A60" s="1"/>
      <c r="B60" s="51"/>
      <c r="C60" s="52"/>
      <c r="D60" s="52"/>
      <c r="E60" s="52"/>
      <c r="F60" s="52"/>
      <c r="G60" s="52"/>
      <c r="H60" s="19"/>
      <c r="I60" s="1"/>
    </row>
    <row r="61" spans="1:9" x14ac:dyDescent="0.35">
      <c r="A61" s="1"/>
      <c r="B61" s="1"/>
      <c r="C61" s="1"/>
      <c r="D61" s="1"/>
      <c r="E61" s="1"/>
      <c r="F61" s="1"/>
      <c r="G61" s="1"/>
      <c r="H61" s="1"/>
      <c r="I61" s="1"/>
    </row>
    <row r="62" spans="1:9" x14ac:dyDescent="0.35">
      <c r="A62" s="1"/>
      <c r="B62" s="105" t="s">
        <v>223</v>
      </c>
      <c r="C62" s="106"/>
      <c r="D62" s="106"/>
      <c r="E62" s="106"/>
      <c r="F62" s="106"/>
      <c r="G62" s="106"/>
      <c r="H62" s="107"/>
      <c r="I62" s="1"/>
    </row>
    <row r="63" spans="1:9" x14ac:dyDescent="0.35">
      <c r="A63" s="1"/>
      <c r="B63" s="99" t="s">
        <v>224</v>
      </c>
      <c r="C63" s="100"/>
      <c r="D63" s="100"/>
      <c r="E63" s="100"/>
      <c r="F63" s="101"/>
      <c r="G63" s="22">
        <f>(G58-G59)*(1+'Fane 13. Nøgletal'!C16)</f>
        <v>13212380.594258606</v>
      </c>
      <c r="H63" s="14" t="s">
        <v>3</v>
      </c>
      <c r="I63" s="1"/>
    </row>
    <row r="64" spans="1:9" x14ac:dyDescent="0.35">
      <c r="A64" s="1"/>
      <c r="B64" s="99" t="s">
        <v>225</v>
      </c>
      <c r="C64" s="100"/>
      <c r="D64" s="100"/>
      <c r="E64" s="100"/>
      <c r="F64" s="101"/>
      <c r="G64" s="55">
        <f>(G63)*'Fane 13. Nøgletal'!C28</f>
        <v>0</v>
      </c>
      <c r="H64" s="14" t="s">
        <v>3</v>
      </c>
      <c r="I64" s="1"/>
    </row>
    <row r="65" spans="1:9" x14ac:dyDescent="0.35">
      <c r="A65" s="1"/>
      <c r="B65" s="51"/>
      <c r="C65" s="52"/>
      <c r="D65" s="52"/>
      <c r="E65" s="52"/>
      <c r="F65" s="52"/>
      <c r="G65" s="52"/>
      <c r="H65" s="19"/>
      <c r="I65" s="1"/>
    </row>
    <row r="66" spans="1:9" x14ac:dyDescent="0.35">
      <c r="A66" s="1"/>
      <c r="B66" s="1"/>
      <c r="C66" s="1"/>
      <c r="D66" s="1"/>
      <c r="E66" s="1"/>
      <c r="F66" s="1"/>
      <c r="G66" s="1"/>
      <c r="H66" s="1"/>
      <c r="I66" s="1"/>
    </row>
    <row r="67" spans="1:9" x14ac:dyDescent="0.35">
      <c r="A67" s="1"/>
      <c r="B67" s="1"/>
      <c r="C67" s="1"/>
      <c r="D67" s="1"/>
      <c r="E67" s="1"/>
      <c r="F67" s="1"/>
      <c r="G67" s="1"/>
      <c r="H67" s="1"/>
      <c r="I67" s="1"/>
    </row>
    <row r="68" spans="1:9" x14ac:dyDescent="0.35">
      <c r="A68" s="1"/>
      <c r="B68" s="1"/>
      <c r="C68" s="1"/>
      <c r="D68" s="1"/>
      <c r="E68" s="1"/>
      <c r="F68" s="1"/>
      <c r="G68" s="1"/>
      <c r="H68" s="1"/>
      <c r="I68" s="1"/>
    </row>
    <row r="69" spans="1:9" x14ac:dyDescent="0.35">
      <c r="A69" s="1"/>
      <c r="B69" s="1"/>
      <c r="C69" s="1"/>
      <c r="D69" s="1"/>
      <c r="E69" s="1"/>
      <c r="F69" s="1"/>
      <c r="G69" s="1"/>
      <c r="H69" s="1"/>
      <c r="I69" s="1"/>
    </row>
    <row r="70" spans="1:9" x14ac:dyDescent="0.35">
      <c r="A70" s="1"/>
      <c r="B70" s="1"/>
      <c r="C70" s="1"/>
      <c r="D70" s="1"/>
      <c r="E70" s="1"/>
      <c r="F70" s="1"/>
      <c r="G70" s="1"/>
      <c r="H70" s="1"/>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1"/>
      <c r="B75" s="1"/>
      <c r="C75" s="1"/>
      <c r="D75" s="1"/>
      <c r="E75" s="1"/>
      <c r="F75" s="1"/>
      <c r="G75" s="1"/>
      <c r="H75" s="1"/>
      <c r="I75" s="1"/>
    </row>
    <row r="76" spans="1:9" x14ac:dyDescent="0.35">
      <c r="A76" s="1"/>
      <c r="B76" s="1"/>
      <c r="C76" s="1"/>
      <c r="D76" s="1"/>
      <c r="E76" s="1"/>
      <c r="F76" s="1"/>
      <c r="G76" s="1"/>
      <c r="H76" s="1"/>
      <c r="I76" s="1"/>
    </row>
    <row r="77" spans="1:9" x14ac:dyDescent="0.35">
      <c r="A77" s="1"/>
      <c r="B77" s="1"/>
      <c r="C77" s="1"/>
      <c r="D77" s="1"/>
      <c r="E77" s="1"/>
      <c r="F77" s="1"/>
      <c r="G77" s="1"/>
      <c r="H77" s="1"/>
      <c r="I77" s="1"/>
    </row>
    <row r="78" spans="1:9" x14ac:dyDescent="0.35">
      <c r="A78" s="1"/>
      <c r="B78" s="1"/>
      <c r="C78" s="1"/>
      <c r="D78" s="1"/>
      <c r="E78" s="1"/>
      <c r="F78" s="1"/>
      <c r="G78" s="1"/>
      <c r="H78" s="1"/>
      <c r="I78" s="1"/>
    </row>
    <row r="79" spans="1:9" x14ac:dyDescent="0.35">
      <c r="A79" s="1"/>
      <c r="B79" s="1"/>
      <c r="C79" s="1"/>
      <c r="D79" s="1"/>
      <c r="E79" s="1"/>
      <c r="F79" s="1"/>
      <c r="G79" s="1"/>
      <c r="H79" s="1"/>
      <c r="I79" s="1"/>
    </row>
    <row r="80" spans="1:9" x14ac:dyDescent="0.35">
      <c r="A80" s="1"/>
      <c r="B80" s="1"/>
      <c r="C80" s="1"/>
      <c r="D80" s="1"/>
      <c r="E80" s="1"/>
      <c r="F80" s="1"/>
      <c r="G80" s="1"/>
      <c r="H80" s="1"/>
      <c r="I80" s="1"/>
    </row>
    <row r="81" spans="1:9" x14ac:dyDescent="0.35">
      <c r="A81" s="1"/>
      <c r="B81" s="1"/>
      <c r="C81" s="1"/>
      <c r="D81" s="1"/>
      <c r="E81" s="1"/>
      <c r="F81" s="1"/>
      <c r="G81" s="1"/>
      <c r="H81" s="1"/>
      <c r="I81" s="1"/>
    </row>
    <row r="82" spans="1:9" x14ac:dyDescent="0.35">
      <c r="A82" s="1"/>
      <c r="B82" s="1"/>
      <c r="C82" s="1"/>
      <c r="D82" s="1"/>
      <c r="E82" s="1"/>
      <c r="F82" s="1"/>
      <c r="G82" s="1"/>
      <c r="H82" s="1"/>
      <c r="I82" s="1"/>
    </row>
    <row r="83" spans="1:9" x14ac:dyDescent="0.35">
      <c r="A83" s="1"/>
      <c r="B83" s="1"/>
      <c r="C83" s="1"/>
      <c r="D83" s="1"/>
      <c r="E83" s="1"/>
      <c r="F83" s="1"/>
      <c r="G83" s="1"/>
      <c r="H83" s="1"/>
      <c r="I83" s="1"/>
    </row>
    <row r="84" spans="1:9" x14ac:dyDescent="0.35">
      <c r="A84" s="1"/>
      <c r="B84" s="1"/>
      <c r="C84" s="1"/>
      <c r="D84" s="1"/>
      <c r="E84" s="1"/>
      <c r="F84" s="1"/>
      <c r="G84" s="1"/>
      <c r="H84" s="1"/>
      <c r="I84" s="1"/>
    </row>
    <row r="85" spans="1:9" x14ac:dyDescent="0.35">
      <c r="A85" s="1"/>
      <c r="B85" s="1"/>
      <c r="C85" s="1"/>
      <c r="D85" s="1"/>
      <c r="E85" s="1"/>
      <c r="F85" s="1"/>
      <c r="G85" s="1"/>
      <c r="H85" s="1"/>
      <c r="I85" s="1"/>
    </row>
    <row r="86" spans="1:9" x14ac:dyDescent="0.35">
      <c r="A86" s="1"/>
      <c r="B86" s="1"/>
      <c r="C86" s="1"/>
      <c r="D86" s="1"/>
      <c r="E86" s="1"/>
      <c r="F86" s="1"/>
      <c r="G86" s="1"/>
      <c r="H86" s="1"/>
      <c r="I86" s="1"/>
    </row>
    <row r="87" spans="1:9" x14ac:dyDescent="0.35">
      <c r="A87" s="1"/>
      <c r="B87" s="1"/>
      <c r="C87" s="1"/>
      <c r="D87" s="1"/>
      <c r="E87" s="1"/>
      <c r="F87" s="1"/>
      <c r="G87" s="1"/>
      <c r="H87" s="1"/>
      <c r="I87" s="1"/>
    </row>
    <row r="88" spans="1:9" x14ac:dyDescent="0.35">
      <c r="A88" s="1"/>
      <c r="B88" s="1"/>
      <c r="C88" s="1"/>
      <c r="D88" s="1"/>
      <c r="E88" s="1"/>
      <c r="F88" s="1"/>
      <c r="G88" s="1"/>
      <c r="H88" s="1"/>
      <c r="I88" s="1"/>
    </row>
    <row r="89" spans="1:9" x14ac:dyDescent="0.35">
      <c r="A89" s="1"/>
      <c r="B89" s="1"/>
      <c r="C89" s="1"/>
      <c r="D89" s="1"/>
      <c r="E89" s="1"/>
      <c r="F89" s="1"/>
      <c r="G89" s="1"/>
      <c r="H89" s="1"/>
      <c r="I89" s="1"/>
    </row>
    <row r="90" spans="1:9" x14ac:dyDescent="0.35">
      <c r="A90" s="1"/>
      <c r="B90" s="1"/>
      <c r="C90" s="1"/>
      <c r="D90" s="1"/>
      <c r="E90" s="1"/>
      <c r="F90" s="1"/>
      <c r="G90" s="1"/>
      <c r="H90" s="1"/>
      <c r="I90" s="1"/>
    </row>
    <row r="91" spans="1:9" x14ac:dyDescent="0.35">
      <c r="A91" s="1"/>
      <c r="B91" s="1"/>
      <c r="C91" s="1"/>
      <c r="D91" s="1"/>
      <c r="E91" s="1"/>
      <c r="F91" s="1"/>
      <c r="G91" s="1"/>
      <c r="H91" s="1"/>
      <c r="I91" s="1"/>
    </row>
    <row r="92" spans="1:9" x14ac:dyDescent="0.35">
      <c r="A92" s="1"/>
      <c r="B92" s="1"/>
      <c r="C92" s="1"/>
      <c r="D92" s="1"/>
      <c r="E92" s="1"/>
      <c r="F92" s="1"/>
      <c r="G92" s="1"/>
      <c r="H92" s="1"/>
      <c r="I92" s="1"/>
    </row>
    <row r="93" spans="1:9" x14ac:dyDescent="0.35">
      <c r="A93" s="1"/>
      <c r="B93" s="1"/>
      <c r="C93" s="1"/>
      <c r="D93" s="1"/>
      <c r="E93" s="1"/>
      <c r="F93" s="1"/>
      <c r="G93" s="1"/>
      <c r="H93" s="1"/>
      <c r="I93" s="1"/>
    </row>
    <row r="94" spans="1:9" x14ac:dyDescent="0.35">
      <c r="A94" s="1"/>
      <c r="B94" s="1"/>
      <c r="C94" s="1"/>
      <c r="D94" s="1"/>
      <c r="E94" s="1"/>
      <c r="F94" s="1"/>
      <c r="G94" s="1"/>
      <c r="H94" s="1"/>
      <c r="I94" s="1"/>
    </row>
    <row r="95" spans="1:9" x14ac:dyDescent="0.35">
      <c r="A95" s="1"/>
      <c r="B95" s="1"/>
      <c r="C95" s="1"/>
      <c r="D95" s="1"/>
      <c r="E95" s="1"/>
      <c r="F95" s="1"/>
      <c r="G95" s="1"/>
      <c r="H95" s="1"/>
      <c r="I95" s="1"/>
    </row>
    <row r="96" spans="1:9" x14ac:dyDescent="0.35">
      <c r="A96" s="1"/>
      <c r="B96" s="1"/>
      <c r="C96" s="1"/>
      <c r="D96" s="1"/>
      <c r="E96" s="1"/>
      <c r="F96" s="1"/>
      <c r="G96" s="1"/>
      <c r="H96" s="1"/>
      <c r="I96" s="1"/>
    </row>
    <row r="97" spans="1:9" x14ac:dyDescent="0.35">
      <c r="A97" s="1"/>
      <c r="B97" s="1"/>
      <c r="C97" s="1"/>
      <c r="D97" s="1"/>
      <c r="E97" s="1"/>
      <c r="F97" s="1"/>
      <c r="G97" s="1"/>
      <c r="H97" s="1"/>
      <c r="I97" s="1"/>
    </row>
    <row r="98" spans="1:9" x14ac:dyDescent="0.35">
      <c r="A98" s="1"/>
      <c r="B98" s="1"/>
      <c r="C98" s="1"/>
      <c r="D98" s="1"/>
      <c r="E98" s="1"/>
      <c r="F98" s="1"/>
      <c r="G98" s="1"/>
      <c r="H98" s="1"/>
      <c r="I98" s="1"/>
    </row>
    <row r="99" spans="1:9" x14ac:dyDescent="0.35">
      <c r="A99" s="1"/>
      <c r="B99" s="1"/>
      <c r="C99" s="1"/>
      <c r="D99" s="1"/>
      <c r="E99" s="1"/>
      <c r="F99" s="1"/>
      <c r="G99" s="1"/>
      <c r="H99" s="1"/>
      <c r="I99" s="1"/>
    </row>
    <row r="100" spans="1:9" x14ac:dyDescent="0.35">
      <c r="A100" s="1"/>
      <c r="B100" s="1"/>
      <c r="C100" s="1"/>
      <c r="D100" s="1"/>
      <c r="E100" s="1"/>
      <c r="F100" s="1"/>
      <c r="G100" s="1"/>
      <c r="H100" s="1"/>
      <c r="I100" s="1"/>
    </row>
  </sheetData>
  <sheetProtection algorithmName="SHA-512" hashValue="wUau89qLN+V68S1DsYn+dWmGAJwcxToxTaSssFnUzJ5n4SNzFpbNBbiAOvWapJweNhWgrT1MGy0Jc8Jpq4VdtA==" saltValue="6fFbnmH8yi3DkAOrTY9f4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95" t="s">
        <v>77</v>
      </c>
      <c r="C3" s="95"/>
      <c r="D3" s="95"/>
      <c r="E3" s="95"/>
      <c r="F3" s="95"/>
      <c r="G3" s="95"/>
      <c r="H3" s="1"/>
    </row>
    <row r="4" spans="1:8" ht="15" customHeight="1" x14ac:dyDescent="0.35">
      <c r="A4" s="1"/>
      <c r="B4" s="95"/>
      <c r="C4" s="95"/>
      <c r="D4" s="95"/>
      <c r="E4" s="95"/>
      <c r="F4" s="95"/>
      <c r="G4" s="95"/>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05" t="s">
        <v>9</v>
      </c>
      <c r="C8" s="106"/>
      <c r="D8" s="106"/>
      <c r="E8" s="106"/>
      <c r="F8" s="106"/>
      <c r="G8" s="107"/>
      <c r="H8" s="1"/>
    </row>
    <row r="9" spans="1:8" x14ac:dyDescent="0.35">
      <c r="A9" s="1"/>
      <c r="B9" s="66" t="s">
        <v>150</v>
      </c>
      <c r="C9" s="67"/>
      <c r="D9" s="67"/>
      <c r="E9" s="67"/>
      <c r="F9" s="68"/>
      <c r="G9" s="61">
        <v>1.4655120438905054E-2</v>
      </c>
      <c r="H9" s="1"/>
    </row>
    <row r="10" spans="1:8" x14ac:dyDescent="0.35">
      <c r="A10" s="1"/>
      <c r="B10" s="51"/>
      <c r="C10" s="52"/>
      <c r="D10" s="52"/>
      <c r="E10" s="52"/>
      <c r="F10" s="52"/>
      <c r="G10" s="19"/>
      <c r="H10" s="1"/>
    </row>
    <row r="11" spans="1:8" ht="15" customHeight="1" x14ac:dyDescent="0.35">
      <c r="A11" s="1"/>
      <c r="B11" s="111" t="s">
        <v>236</v>
      </c>
      <c r="C11" s="112"/>
      <c r="D11" s="112"/>
      <c r="E11" s="112"/>
      <c r="F11" s="112"/>
      <c r="G11" s="113"/>
      <c r="H11" s="1"/>
    </row>
    <row r="12" spans="1:8" ht="13.5" customHeight="1" x14ac:dyDescent="0.35">
      <c r="A12" s="1"/>
      <c r="B12" s="114"/>
      <c r="C12" s="115"/>
      <c r="D12" s="115"/>
      <c r="E12" s="115"/>
      <c r="F12" s="115"/>
      <c r="G12" s="116"/>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row r="49" spans="1:8" x14ac:dyDescent="0.35">
      <c r="A49" s="1"/>
      <c r="B49" s="1"/>
      <c r="C49" s="1"/>
      <c r="D49" s="1"/>
      <c r="E49" s="1"/>
      <c r="F49" s="1"/>
      <c r="G49" s="1"/>
      <c r="H49" s="1"/>
    </row>
    <row r="50" spans="1:8" x14ac:dyDescent="0.35">
      <c r="A50" s="1"/>
      <c r="B50" s="1"/>
      <c r="C50" s="1"/>
      <c r="D50" s="1"/>
      <c r="E50" s="1"/>
      <c r="F50" s="1"/>
      <c r="G50" s="1"/>
      <c r="H50" s="1"/>
    </row>
  </sheetData>
  <sheetProtection algorithmName="SHA-512" hashValue="wlu/+yr3jnQOHdlcey2CsoesEsvcgsToBn60FWOJ32VPQbPH9mSxn/r3A9BrmsQiGryKQKJT2W/LfpIggtBA2w==" saltValue="5bcv6RYxoiUrnyuR7FL9u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2023-11-01T17:29:28Z</dcterms:modified>
</cp:coreProperties>
</file>