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Ikast-Brande Spildevand AS (S052)\ØR2027\"/>
    </mc:Choice>
  </mc:AlternateContent>
  <xr:revisionPtr revIDLastSave="0" documentId="13_ncr:1_{62CF9F1E-3FEF-4576-AAAC-62A805743E8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2027'!$A$1:$E$25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tillæg'!$A$1:$G$29</definedName>
    <definedName name="BlåBlok_53">'5.3. Engangstillæg'!$A$1:$G$22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Engangstillæg'!$B$8:$F$20</definedName>
    <definedName name="EngTillæg_Tabel_Værdi">'5.3. Engangstillæg'!$B$20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2027'!$A$1:$E$25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tillæg'!$A$1:$G$29</definedName>
    <definedName name="_xlnm.Print_Area" localSheetId="8">'5.3. Engangstillæg'!$A$1:$G$22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tillæg'!$B$8:$F$27</definedName>
    <definedName name="VarigeTillæg_Tabel_KS">'5.2. Varige tillæg'!$B$25</definedName>
    <definedName name="VarigeTillæg_Tabel_SletSmå">'5.2. Varige tillæg'!$B$24:$F$24</definedName>
    <definedName name="VarigeTillæg_Tabel_Værdi">'5.2. Varige tillæg'!$B$23</definedName>
    <definedName name="VarigeTillæg_Tabel_Værdi_korr">'5.2. Varige tillæg'!$B$27</definedName>
    <definedName name="ØR_SidsteÅr_Tabel">'3. Omk. i ØR2026'!$B$8:$D$25</definedName>
    <definedName name="ØR_Tabel">'1. Økonomisk ramme 2027'!$B$8:$D$23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2027'!$B$21</definedName>
    <definedName name="ØR_Tabel_Total">'1. Økonomisk ramme 2027'!$B$23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0" l="1"/>
  <c r="E23" i="9"/>
  <c r="C23" i="9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1" i="3" s="1"/>
  <c r="C11" i="11"/>
  <c r="C10" i="11"/>
  <c r="E20" i="10"/>
  <c r="E24" i="9"/>
  <c r="C25" i="9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25" i="7"/>
  <c r="C18" i="3" s="1"/>
  <c r="C16" i="6"/>
  <c r="C12" i="11" l="1"/>
  <c r="C19" i="3" s="1"/>
  <c r="C13" i="3"/>
  <c r="C12" i="3"/>
  <c r="C9" i="7"/>
  <c r="C20" i="7" s="1"/>
  <c r="C11" i="4" s="1"/>
  <c r="C12" i="4" s="1"/>
  <c r="C15" i="4" s="1"/>
  <c r="C19" i="4" s="1"/>
  <c r="C24" i="4" s="1"/>
  <c r="C24" i="9"/>
  <c r="C26" i="9" s="1"/>
  <c r="C27" i="9" s="1"/>
  <c r="E25" i="9"/>
  <c r="E26" i="9" s="1"/>
  <c r="E27" i="9" s="1"/>
  <c r="C12" i="13"/>
  <c r="C11" i="6" s="1"/>
  <c r="C12" i="6" s="1"/>
  <c r="C13" i="6" s="1"/>
  <c r="E12" i="13"/>
  <c r="C11" i="3" s="1"/>
  <c r="C10" i="3" l="1"/>
  <c r="C17" i="6"/>
  <c r="C18" i="6" s="1"/>
  <c r="C19" i="6" s="1"/>
  <c r="C20" i="6" s="1"/>
  <c r="C15" i="3" s="1"/>
  <c r="C14" i="3" l="1"/>
  <c r="C16" i="3" s="1"/>
  <c r="C17" i="3" s="1"/>
  <c r="C23" i="3" s="1"/>
</calcChain>
</file>

<file path=xl/sharedStrings.xml><?xml version="1.0" encoding="utf-8"?>
<sst xmlns="http://schemas.openxmlformats.org/spreadsheetml/2006/main" count="382" uniqueCount="173">
  <si>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</si>
  <si>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</si>
  <si>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</si>
  <si>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</si>
  <si>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</si>
  <si>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</si>
  <si>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</si>
  <si>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</si>
  <si>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</si>
  <si>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</si>
  <si>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</si>
  <si>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</si>
  <si>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</si>
  <si>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</si>
  <si>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</si>
  <si>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</si>
  <si>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</si>
  <si>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</si>
  <si>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</si>
  <si>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</si>
  <si>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</si>
  <si>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</si>
  <si>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</si>
  <si>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</si>
  <si>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</si>
  <si>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</si>
  <si>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</si>
  <si>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</si>
  <si>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</si>
  <si>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</si>
  <si>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</si>
  <si>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</si>
  <si>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</si>
  <si>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</si>
  <si>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</si>
  <si>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</si>
  <si>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</si>
  <si>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</si>
  <si>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</si>
  <si>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</si>
  <si>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</si>
  <si>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</si>
  <si>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</si>
  <si>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</si>
  <si>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</si>
  <si>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</si>
  <si>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</si>
  <si>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</si>
  <si>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</si>
  <si>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</si>
  <si>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</si>
  <si>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</si>
  <si>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</si>
  <si>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</si>
  <si>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</si>
  <si>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</si>
  <si>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</si>
  <si>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</si>
  <si>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</si>
  <si>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</si>
  <si>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</si>
  <si>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</si>
  <si>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</si>
  <si>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</si>
  <si>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</si>
  <si>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</si>
  <si>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</si>
  <si>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</si>
  <si>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</si>
  <si>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</si>
  <si>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</si>
  <si>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</si>
  <si>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</si>
  <si>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</si>
  <si>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</si>
  <si>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</si>
  <si>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</si>
  <si>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</si>
  <si>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</si>
  <si>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</si>
  <si>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</si>
  <si>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</si>
  <si>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</si>
  <si>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</si>
  <si>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</si>
  <si>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</si>
  <si>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</si>
  <si>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</si>
  <si>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</si>
  <si>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</si>
  <si>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</si>
  <si>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</si>
  <si>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</si>
  <si>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</si>
  <si>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</si>
  <si>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</si>
  <si>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</si>
  <si>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</si>
  <si>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</si>
  <si>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</si>
  <si>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</si>
  <si>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</si>
  <si>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</si>
  <si>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</si>
  <si>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</si>
  <si>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</si>
  <si>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</si>
  <si>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</si>
  <si>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</si>
  <si>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</si>
  <si>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</si>
  <si>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</si>
  <si>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</si>
  <si>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</si>
  <si>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</si>
  <si>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</si>
  <si>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</si>
  <si>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</si>
  <si>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</si>
  <si>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</si>
  <si>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</si>
  <si>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</si>
  <si>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</si>
  <si>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</si>
  <si>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Tillæg til engangsomkostninger vedr.  anlægsprojekter igangsat senest den 1. marts 2016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</si>
  <si>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</si>
  <si>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</si>
  <si>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</si>
  <si>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</si>
  <si>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</si>
  <si>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</si>
  <si>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</si>
  <si>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</si>
  <si>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</si>
  <si>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</si>
  <si>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</si>
  <si>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</si>
  <si>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</si>
  <si>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</si>
  <si>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</si>
  <si>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</si>
  <si>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</si>
  <si>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</si>
  <si>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</si>
  <si>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</si>
  <si>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</si>
  <si>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</si>
  <si>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</si>
  <si>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</si>
  <si>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</si>
  <si>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</si>
  <si>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</si>
  <si>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</si>
  <si>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Forbedrede pumper</t>
  </si>
  <si>
    <t>Forsyningssikkerhed herunder NIS2</t>
  </si>
  <si>
    <t>Jordhåndteringsplads</t>
  </si>
  <si>
    <t>Nye lovkrav siden 2016</t>
  </si>
  <si>
    <t>Nyt køretøj</t>
  </si>
  <si>
    <t>Oprensning ristestof</t>
  </si>
  <si>
    <t>Separatkloakeringer 2025</t>
  </si>
  <si>
    <t>Solceller</t>
  </si>
  <si>
    <t>Sparebassin</t>
  </si>
  <si>
    <t>Strømpeforinger 2025</t>
  </si>
  <si>
    <t>Øget kapacitet på Brande renseanlæg</t>
  </si>
  <si>
    <t>Byggemodninger 2025</t>
  </si>
  <si>
    <t>Affaldssortering</t>
  </si>
  <si>
    <t>OptiDose - Optimering kemiforbrug</t>
  </si>
  <si>
    <t>Slam med PFAS</t>
  </si>
  <si>
    <t>Udledningstilladelser overløb</t>
  </si>
  <si>
    <t xml:space="preserve">Tillæg til mål  </t>
  </si>
  <si>
    <t>Økonomisk ramme for 2026</t>
  </si>
  <si>
    <t>Tidligere udmeldt fradrag til den økonomiske ramme for 2027</t>
  </si>
  <si>
    <t>Elektronisk støjfilter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</si>
</sst>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ofpaLQHSYFpvX/E/vF/SEoeuKPP8XH9z+MfrWUjtUuGl+weYBLsJqrahy3pBIN05fZnDoCIn9x88Dft1k4+fA==" saltValue="31mV3LvNE95EqmR+YbaxT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84447150.307051495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tillæg'!C27+'5.2. Varige tillæg'!E27</f>
        <v>2248720.492443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231.50249999999997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-582584.45223381452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2488680.6658580829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88602198.515618756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449363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40" t="s">
        <v>171</v>
      </c>
      <c r="C20" s="34">
        <v>-4119014.1932363808</v>
      </c>
      <c r="D20" s="39" t="s">
        <v>31</v>
      </c>
      <c r="E20" s="11"/>
    </row>
    <row r="21" spans="1:5" ht="15" customHeight="1" x14ac:dyDescent="0.25">
      <c r="A21" s="11"/>
      <c r="B21" s="28" t="s">
        <v>22</v>
      </c>
      <c r="C21" s="34">
        <f>'5.5. Korr. af ØR2025'!C16</f>
        <v>0</v>
      </c>
      <c r="D21" s="39" t="s">
        <v>31</v>
      </c>
      <c r="E21" s="11"/>
    </row>
    <row r="22" spans="1:5" ht="15" customHeight="1" x14ac:dyDescent="0.25">
      <c r="A22" s="11"/>
      <c r="B22" s="38" t="s">
        <v>42</v>
      </c>
      <c r="C22" s="34">
        <v>-1662069</v>
      </c>
      <c r="D22" s="39" t="s">
        <v>31</v>
      </c>
      <c r="E22" s="11"/>
    </row>
    <row r="23" spans="1:5" ht="15" customHeight="1" x14ac:dyDescent="0.25">
      <c r="A23" s="11"/>
      <c r="B23" s="25" t="s">
        <v>4</v>
      </c>
      <c r="C23" s="41">
        <f>SUM(C17:C22)</f>
        <v>83270478.322382376</v>
      </c>
      <c r="D23" s="27" t="s">
        <v>31</v>
      </c>
      <c r="E23" s="11"/>
    </row>
    <row r="24" spans="1:5" ht="15" customHeight="1" x14ac:dyDescent="0.25">
      <c r="A24" s="11"/>
      <c r="B24" s="11"/>
      <c r="C24" s="11"/>
      <c r="D24" s="11"/>
      <c r="E24" s="11"/>
    </row>
    <row r="25" spans="1:5" ht="15" customHeight="1" x14ac:dyDescent="0.25">
      <c r="A25" s="11"/>
      <c r="B25" s="11"/>
      <c r="C25" s="11"/>
      <c r="D25" s="11"/>
      <c r="E25" s="11"/>
    </row>
  </sheetData>
  <sheetProtection algorithmName="SHA-512" hashValue="DGkszu76qeZeno2SMjXeuhct1svFlFEgwC5OxuG+gkmPlZ8e5Wvn/HGUugXvWzuvuy5FI6RQZeDK+LldYMOZ5g==" saltValue="cFDu/pdTmcG7gcqdBf/hF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129</v>
      </c>
      <c r="C9" s="45">
        <v>80764120</v>
      </c>
      <c r="D9" s="46" t="s">
        <v>31</v>
      </c>
      <c r="E9" s="11"/>
    </row>
    <row r="10" spans="1:5" ht="15" customHeight="1" x14ac:dyDescent="0.25">
      <c r="A10" s="11"/>
      <c r="B10" s="44" t="s">
        <v>131</v>
      </c>
      <c r="C10" s="45">
        <f>'3. Omk. i ØR2026'!C10</f>
        <v>2164301.1612991998</v>
      </c>
      <c r="D10" s="46" t="s">
        <v>31</v>
      </c>
      <c r="E10" s="11"/>
    </row>
    <row r="11" spans="1:5" ht="15" customHeight="1" x14ac:dyDescent="0.25">
      <c r="A11" s="11"/>
      <c r="B11" s="44" t="s">
        <v>132</v>
      </c>
      <c r="C11" s="47">
        <f>'5.1. § 10-tillæg'!C20+'5.2. Varige tillæg'!C23+'5.2. Varige tillæg'!E23+'5.3. Engangstillæg'!C20+'5.3. Engangstillæg'!E20</f>
        <v>4663467.7804415682</v>
      </c>
      <c r="D11" s="46" t="s">
        <v>31</v>
      </c>
      <c r="E11" s="11"/>
    </row>
    <row r="12" spans="1:5" ht="15" customHeight="1" x14ac:dyDescent="0.25">
      <c r="A12" s="11"/>
      <c r="B12" s="35" t="s">
        <v>130</v>
      </c>
      <c r="C12" s="36">
        <f>C9+C10+C11</f>
        <v>87591888.941740766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84599054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133</v>
      </c>
      <c r="C15" s="41">
        <f>C12-C13</f>
        <v>2992834.9417407662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128</v>
      </c>
      <c r="C18" s="45">
        <v>16349</v>
      </c>
      <c r="D18" s="46" t="s">
        <v>31</v>
      </c>
      <c r="E18" s="11"/>
    </row>
    <row r="19" spans="1:5" ht="15" customHeight="1" x14ac:dyDescent="0.25">
      <c r="A19" s="11"/>
      <c r="B19" s="25" t="s">
        <v>144</v>
      </c>
      <c r="C19" s="41">
        <f>C15+C18</f>
        <v>3009183.9417407662</v>
      </c>
      <c r="D19" s="27" t="s">
        <v>31</v>
      </c>
      <c r="E19" s="11"/>
    </row>
    <row r="20" spans="1:5" ht="42" customHeight="1" x14ac:dyDescent="0.25">
      <c r="A20" s="11"/>
      <c r="B20" s="49" t="s">
        <v>145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146</v>
      </c>
      <c r="C22" s="26"/>
      <c r="D22" s="27"/>
      <c r="E22" s="11"/>
    </row>
    <row r="23" spans="1:5" ht="26.25" x14ac:dyDescent="0.25">
      <c r="A23" s="11"/>
      <c r="B23" s="52" t="s">
        <v>147</v>
      </c>
      <c r="C23" s="53">
        <f>100*16349/(70631187+2929282)</f>
        <v>2.222525253339535E-2</v>
      </c>
      <c r="D23" s="46" t="s">
        <v>148</v>
      </c>
      <c r="E23" s="11"/>
    </row>
    <row r="24" spans="1:5" ht="26.25" x14ac:dyDescent="0.25">
      <c r="A24" s="11"/>
      <c r="B24" s="52" t="s">
        <v>149</v>
      </c>
      <c r="C24" s="53">
        <f>C19/C12*100</f>
        <v>3.4354595820421672</v>
      </c>
      <c r="D24" s="46" t="s">
        <v>148</v>
      </c>
      <c r="E24" s="11"/>
    </row>
    <row r="25" spans="1:5" ht="56.25" customHeight="1" x14ac:dyDescent="0.25">
      <c r="A25" s="11"/>
      <c r="B25" s="54" t="s">
        <v>150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I6SBJ5BnCyc/h00SAQhyrHqupuncW4yLs5vCtZ9GafPO86IFGFY8KR6mIEi9djlJjCzBXky6p9Ey+WCs0Hx02g==" saltValue="KgpMMhQiIrUFnx5vxJZTo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136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80351227.913283601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2164301.1612991998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118696.33179264001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-559047.73405402887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2371972.6347300885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84447150.307051495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449363</v>
      </c>
      <c r="D18" s="73" t="s">
        <v>31</v>
      </c>
      <c r="E18" s="57"/>
    </row>
    <row r="19" spans="1:5" ht="27" customHeight="1" x14ac:dyDescent="0.25">
      <c r="A19" s="57"/>
      <c r="B19" s="74" t="s">
        <v>124</v>
      </c>
      <c r="C19" s="68">
        <v>197606.41675375999</v>
      </c>
      <c r="D19" s="73" t="s">
        <v>31</v>
      </c>
      <c r="E19" s="57"/>
    </row>
    <row r="20" spans="1:5" ht="15" customHeight="1" x14ac:dyDescent="0.25">
      <c r="A20" s="57"/>
      <c r="B20" s="75" t="s">
        <v>40</v>
      </c>
      <c r="C20" s="68">
        <v>0</v>
      </c>
      <c r="D20" s="73" t="s">
        <v>31</v>
      </c>
      <c r="E20" s="57"/>
    </row>
    <row r="21" spans="1:5" ht="15" customHeight="1" x14ac:dyDescent="0.25">
      <c r="A21" s="57"/>
      <c r="B21" s="76" t="s">
        <v>41</v>
      </c>
      <c r="C21" s="77">
        <v>-4119014.1932363808</v>
      </c>
      <c r="D21" s="78" t="s">
        <v>31</v>
      </c>
      <c r="E21" s="57"/>
    </row>
    <row r="22" spans="1:5" ht="15" customHeight="1" x14ac:dyDescent="0.25">
      <c r="A22" s="57"/>
      <c r="B22" s="62" t="s">
        <v>125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72" t="s">
        <v>42</v>
      </c>
      <c r="C23" s="68">
        <v>0</v>
      </c>
      <c r="D23" s="73" t="s">
        <v>31</v>
      </c>
      <c r="E23" s="57"/>
    </row>
    <row r="24" spans="1:5" ht="15" customHeight="1" x14ac:dyDescent="0.25">
      <c r="A24" s="57"/>
      <c r="B24" s="59" t="s">
        <v>170</v>
      </c>
      <c r="C24" s="79">
        <v>80975105.530568868</v>
      </c>
      <c r="D24" s="61" t="s">
        <v>31</v>
      </c>
      <c r="E24" s="57"/>
    </row>
    <row r="25" spans="1:5" ht="30" customHeight="1" x14ac:dyDescent="0.25">
      <c r="A25" s="57"/>
      <c r="B25" s="80" t="s">
        <v>137</v>
      </c>
      <c r="C25" s="80"/>
      <c r="D25" s="80"/>
      <c r="E25" s="57"/>
    </row>
    <row r="26" spans="1:5" ht="15" customHeight="1" x14ac:dyDescent="0.25">
      <c r="A26" s="57"/>
      <c r="B26" s="57"/>
      <c r="C26" s="57"/>
      <c r="D26" s="57"/>
      <c r="E26" s="57"/>
    </row>
  </sheetData>
  <sheetProtection algorithmName="SHA-512" hashValue="3eXUQpzu2isaRPimcgQjl1DxPVFQTiZcK/g3eJFa3sW3Dt7hTagzesUlOU4z1G1WrqhPcFSuIBoL79DxAIZV1A==" saltValue="AsXNzTY2nIFSCq53jeHF7w==" spinCount="100000" sheet="1" objects="1" scenarios="1"/>
  <mergeCells count="2">
    <mergeCell ref="B3:D5"/>
    <mergeCell ref="B25:D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1"/>
      <c r="C1" s="81"/>
      <c r="D1" s="81"/>
      <c r="E1" s="11"/>
    </row>
    <row r="2" spans="1:5" ht="15" customHeight="1" x14ac:dyDescent="0.25">
      <c r="A2" s="11"/>
      <c r="B2" s="81"/>
      <c r="C2" s="81"/>
      <c r="D2" s="81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2"/>
      <c r="C6" s="82"/>
      <c r="D6" s="82"/>
      <c r="E6" s="11"/>
    </row>
    <row r="7" spans="1:5" ht="15" customHeight="1" x14ac:dyDescent="0.25">
      <c r="A7" s="11"/>
      <c r="B7" s="83"/>
      <c r="C7" s="11"/>
      <c r="D7" s="11"/>
      <c r="E7" s="11"/>
    </row>
    <row r="8" spans="1:5" ht="14.25" customHeight="1" x14ac:dyDescent="0.25">
      <c r="A8" s="11"/>
      <c r="B8" s="84" t="s">
        <v>88</v>
      </c>
      <c r="C8" s="85"/>
      <c r="D8" s="86"/>
      <c r="E8" s="11"/>
    </row>
    <row r="9" spans="1:5" ht="15" customHeight="1" x14ac:dyDescent="0.25">
      <c r="A9" s="11"/>
      <c r="B9" s="52" t="s">
        <v>89</v>
      </c>
      <c r="C9" s="2">
        <v>28760210.403391555</v>
      </c>
      <c r="D9" s="46" t="s">
        <v>31</v>
      </c>
      <c r="E9" s="11"/>
    </row>
    <row r="10" spans="1:5" ht="15" customHeight="1" x14ac:dyDescent="0.25">
      <c r="A10" s="11"/>
      <c r="B10" s="87" t="s">
        <v>90</v>
      </c>
      <c r="C10" s="3">
        <f>-'8. Nøgletal'!C19*C9</f>
        <v>-575204.20806783112</v>
      </c>
      <c r="D10" s="46" t="s">
        <v>31</v>
      </c>
      <c r="E10" s="11"/>
    </row>
    <row r="11" spans="1:5" ht="15" customHeight="1" x14ac:dyDescent="0.25">
      <c r="A11" s="11"/>
      <c r="B11" s="87" t="s">
        <v>91</v>
      </c>
      <c r="C11" s="2">
        <f>('5.2. Varige tillæg'!C23)*(1+'8. Nøgletal'!C9)*(1-'8. Nøgletal'!C19)+'5.6 Anlægsprojekter'!C12-'6. Bortfald'!C12+'7. Tilknyttet virksomhed'!C12</f>
        <v>944216.41636699997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29129222.611690722</v>
      </c>
      <c r="D12" s="46" t="s">
        <v>31</v>
      </c>
      <c r="E12" s="11"/>
    </row>
    <row r="13" spans="1:5" ht="15" customHeight="1" x14ac:dyDescent="0.25">
      <c r="A13" s="11"/>
      <c r="B13" s="88" t="s">
        <v>93</v>
      </c>
      <c r="C13" s="89">
        <f>-C12*'8. Nøgletal'!C19</f>
        <v>-582584.45223381452</v>
      </c>
      <c r="D13" s="90" t="s">
        <v>31</v>
      </c>
      <c r="E13" s="91"/>
    </row>
    <row r="14" spans="1:5" ht="15" customHeight="1" x14ac:dyDescent="0.25">
      <c r="A14" s="11"/>
      <c r="B14" s="84" t="s">
        <v>94</v>
      </c>
      <c r="C14" s="85"/>
      <c r="D14" s="86"/>
      <c r="E14" s="11"/>
    </row>
    <row r="15" spans="1:5" ht="15" customHeight="1" x14ac:dyDescent="0.25">
      <c r="A15" s="11"/>
      <c r="B15" s="44" t="s">
        <v>46</v>
      </c>
      <c r="C15" s="3">
        <v>59653367.447108634</v>
      </c>
      <c r="D15" s="46" t="s">
        <v>31</v>
      </c>
      <c r="E15" s="11"/>
    </row>
    <row r="16" spans="1:5" ht="15" customHeight="1" x14ac:dyDescent="0.25">
      <c r="A16" s="11"/>
      <c r="B16" s="87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7" t="s">
        <v>95</v>
      </c>
      <c r="C17" s="2">
        <f>('5.2. Varige tillæg'!E23)*(1+'8. Nøgletal'!C9)*(1-'8. Nøgletal'!C14)+'5.6 Anlægsprojekter'!E12-'6. Bortfald'!E12+'7. Tilknyttet virksomhed'!E12</f>
        <v>1304735.5785759997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60958103.025684632</v>
      </c>
      <c r="D18" s="46" t="s">
        <v>31</v>
      </c>
      <c r="E18" s="11"/>
    </row>
    <row r="19" spans="1:5" ht="15" customHeight="1" x14ac:dyDescent="0.25">
      <c r="A19" s="11"/>
      <c r="B19" s="88" t="s">
        <v>97</v>
      </c>
      <c r="C19" s="89">
        <f>-C18*'8. Nøgletal'!C15</f>
        <v>0</v>
      </c>
      <c r="D19" s="90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-582584.45223381452</v>
      </c>
      <c r="D20" s="27" t="s">
        <v>31</v>
      </c>
      <c r="E20" s="11"/>
    </row>
    <row r="21" spans="1:5" ht="39.950000000000003" customHeight="1" x14ac:dyDescent="0.25">
      <c r="A21" s="11"/>
      <c r="B21" s="92" t="s">
        <v>126</v>
      </c>
      <c r="C21" s="93"/>
      <c r="D21" s="94"/>
      <c r="E21" s="91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F/BR4uFzzCRl/YWs5tLDEBxUmG7G+ON04fSwwOPkL/DElZ57ibOi6bk3w2voo0R/XN0KMuY7YCITY50z2RV7QQ==" saltValue="FiEkCThseml4R1Hi5ZUlxQ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5" t="s">
        <v>99</v>
      </c>
      <c r="C8" s="96"/>
      <c r="D8" s="97"/>
      <c r="E8" s="11"/>
    </row>
    <row r="9" spans="1:5" ht="15" customHeight="1" x14ac:dyDescent="0.25">
      <c r="A9" s="11"/>
      <c r="B9" s="98" t="s">
        <v>138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8" t="s">
        <v>139</v>
      </c>
      <c r="C10" s="33">
        <f>'5.1.a. § 10-tillæg'!E10</f>
        <v>7274.2311068900017</v>
      </c>
      <c r="D10" s="46" t="s">
        <v>31</v>
      </c>
      <c r="E10" s="11"/>
    </row>
    <row r="11" spans="1:5" ht="15" customHeight="1" x14ac:dyDescent="0.25">
      <c r="A11" s="11"/>
      <c r="B11" s="98" t="s">
        <v>140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8" t="s">
        <v>141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9" t="s">
        <v>142</v>
      </c>
      <c r="C13" s="33">
        <f>'5.1.a. § 10-tillæg'!E13</f>
        <v>163293.77933467811</v>
      </c>
      <c r="D13" s="46" t="s">
        <v>31</v>
      </c>
      <c r="E13" s="11"/>
    </row>
    <row r="14" spans="1:5" ht="15" customHeight="1" x14ac:dyDescent="0.25">
      <c r="A14" s="11"/>
      <c r="B14" s="99" t="s">
        <v>151</v>
      </c>
      <c r="C14" s="100">
        <v>212812.25</v>
      </c>
      <c r="D14" s="46" t="s">
        <v>31</v>
      </c>
      <c r="E14" s="11"/>
    </row>
    <row r="15" spans="1:5" ht="15" customHeight="1" x14ac:dyDescent="0.25">
      <c r="A15" s="11"/>
      <c r="B15" s="99" t="s">
        <v>152</v>
      </c>
      <c r="C15" s="100">
        <v>66229</v>
      </c>
      <c r="D15" s="46" t="s">
        <v>31</v>
      </c>
      <c r="E15" s="11"/>
    </row>
    <row r="16" spans="1:5" ht="15" customHeight="1" x14ac:dyDescent="0.25">
      <c r="A16" s="11"/>
      <c r="B16" s="99"/>
      <c r="C16" s="100"/>
      <c r="D16" s="46" t="s">
        <v>31</v>
      </c>
      <c r="E16" s="11"/>
    </row>
    <row r="17" spans="1:5" ht="15" customHeight="1" x14ac:dyDescent="0.25">
      <c r="A17" s="11"/>
      <c r="B17" s="99"/>
      <c r="C17" s="100"/>
      <c r="D17" s="46" t="s">
        <v>31</v>
      </c>
      <c r="E17" s="11"/>
    </row>
    <row r="18" spans="1:5" ht="15" customHeight="1" x14ac:dyDescent="0.25">
      <c r="A18" s="11"/>
      <c r="B18" s="99"/>
      <c r="C18" s="100"/>
      <c r="D18" s="46" t="s">
        <v>31</v>
      </c>
      <c r="E18" s="11"/>
    </row>
    <row r="19" spans="1:5" ht="15" customHeight="1" x14ac:dyDescent="0.25">
      <c r="A19" s="11"/>
      <c r="B19" s="99"/>
      <c r="C19" s="100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1">
        <f>SUM(C9:C19)</f>
        <v>449609.2604415681</v>
      </c>
      <c r="D20" s="102" t="s">
        <v>31</v>
      </c>
      <c r="E20" s="11"/>
    </row>
    <row r="21" spans="1:5" ht="15" customHeight="1" x14ac:dyDescent="0.25">
      <c r="A21" s="11"/>
      <c r="B21" s="103"/>
      <c r="C21" s="104"/>
      <c r="D21" s="104"/>
      <c r="E21" s="11"/>
    </row>
    <row r="22" spans="1:5" ht="15" customHeight="1" x14ac:dyDescent="0.25">
      <c r="A22" s="11"/>
      <c r="B22" s="84" t="s">
        <v>39</v>
      </c>
      <c r="C22" s="85"/>
      <c r="D22" s="86"/>
      <c r="E22" s="11"/>
    </row>
    <row r="23" spans="1:5" ht="15" customHeight="1" x14ac:dyDescent="0.25">
      <c r="A23" s="11"/>
      <c r="B23" s="105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5" t="s">
        <v>50</v>
      </c>
      <c r="C24" s="33">
        <v>449363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1">
        <f>SUM(C23:C24)</f>
        <v>449363</v>
      </c>
      <c r="D25" s="102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cXkhMzXFhv36AUPHEmVAsRM/B3Mlv/LR6GU66nEUBrEI+pkjAG1v9ulfSIu9IUcVqQBxMFKvvGdzgEcqd9gDXA==" saltValue="2IdkkWiUeq8RRJg6ipWVG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127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8" t="s">
        <v>138</v>
      </c>
      <c r="C9" s="33">
        <v>1485454.17010137</v>
      </c>
      <c r="D9" s="33">
        <v>829705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8" t="s">
        <v>139</v>
      </c>
      <c r="C10" s="33">
        <v>88138.768893109998</v>
      </c>
      <c r="D10" s="33">
        <v>95413</v>
      </c>
      <c r="E10" s="33">
        <f t="shared" ref="E10:E19" si="0">MAX(D10-C10,0)</f>
        <v>7274.2311068900017</v>
      </c>
      <c r="F10" s="46" t="s">
        <v>31</v>
      </c>
      <c r="G10" s="11"/>
    </row>
    <row r="11" spans="1:7" ht="42.75" customHeight="1" x14ac:dyDescent="0.25">
      <c r="A11" s="11"/>
      <c r="B11" s="98" t="s">
        <v>140</v>
      </c>
      <c r="C11" s="33">
        <v>363560.05685594998</v>
      </c>
      <c r="D11" s="33">
        <v>354687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8" t="s">
        <v>141</v>
      </c>
      <c r="C12" s="33">
        <v>113382.34720249</v>
      </c>
      <c r="D12" s="33">
        <v>85891.47</v>
      </c>
      <c r="E12" s="33">
        <f t="shared" si="0"/>
        <v>0</v>
      </c>
      <c r="F12" s="46" t="s">
        <v>31</v>
      </c>
      <c r="G12" s="11"/>
    </row>
    <row r="13" spans="1:7" ht="15" customHeight="1" x14ac:dyDescent="0.25">
      <c r="A13" s="11"/>
      <c r="B13" s="99" t="s">
        <v>142</v>
      </c>
      <c r="C13" s="33">
        <v>14563.2206653219</v>
      </c>
      <c r="D13" s="33">
        <v>177857</v>
      </c>
      <c r="E13" s="33">
        <f t="shared" si="0"/>
        <v>163293.77933467811</v>
      </c>
      <c r="F13" s="46" t="s">
        <v>31</v>
      </c>
      <c r="G13" s="11"/>
    </row>
    <row r="14" spans="1:7" ht="15" hidden="1" customHeight="1" x14ac:dyDescent="0.25">
      <c r="A14" s="11"/>
      <c r="B14" s="99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9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9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9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9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9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1"/>
      <c r="D20" s="101"/>
      <c r="E20" s="101"/>
      <c r="F20" s="102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9"/>
      <c r="C22" s="104"/>
      <c r="D22" s="104"/>
      <c r="E22" s="104"/>
      <c r="F22" s="104"/>
      <c r="G22" s="11"/>
    </row>
    <row r="23" spans="1:7" ht="15" customHeight="1" x14ac:dyDescent="0.25">
      <c r="A23" s="11"/>
      <c r="B23" s="109"/>
      <c r="C23" s="104"/>
      <c r="D23" s="104"/>
      <c r="E23" s="104"/>
      <c r="F23" s="104"/>
      <c r="G23" s="11"/>
    </row>
  </sheetData>
  <sheetProtection algorithmName="SHA-512" hashValue="qU/MgOrrOIuOhxfuAOLHdTl3uYByJQq790niu11sFEwvnooBm+OjPZ5wNPN0i/Qfyu8YjchIbJRpVrbQE6tn0g==" saltValue="j/hx90YRC/s0QWau8ObAE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9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153</v>
      </c>
      <c r="C10" s="33">
        <v>0</v>
      </c>
      <c r="D10" s="46" t="s">
        <v>31</v>
      </c>
      <c r="E10" s="33">
        <v>31007.08</v>
      </c>
      <c r="F10" s="46" t="s">
        <v>31</v>
      </c>
      <c r="G10" s="11"/>
    </row>
    <row r="11" spans="1:7" ht="15" customHeight="1" x14ac:dyDescent="0.25">
      <c r="A11" s="11"/>
      <c r="B11" s="113" t="s">
        <v>154</v>
      </c>
      <c r="C11" s="33">
        <v>166201.66000000003</v>
      </c>
      <c r="D11" s="46" t="s">
        <v>31</v>
      </c>
      <c r="E11" s="33">
        <v>26251.15</v>
      </c>
      <c r="F11" s="46" t="s">
        <v>31</v>
      </c>
      <c r="G11" s="11"/>
    </row>
    <row r="12" spans="1:7" ht="15" customHeight="1" x14ac:dyDescent="0.25">
      <c r="A12" s="11"/>
      <c r="B12" s="113" t="s">
        <v>155</v>
      </c>
      <c r="C12" s="33">
        <v>0</v>
      </c>
      <c r="D12" s="46" t="s">
        <v>31</v>
      </c>
      <c r="E12" s="33">
        <v>263201.09999999998</v>
      </c>
      <c r="F12" s="46" t="s">
        <v>31</v>
      </c>
      <c r="G12" s="11"/>
    </row>
    <row r="13" spans="1:7" ht="15" customHeight="1" x14ac:dyDescent="0.25">
      <c r="A13" s="11"/>
      <c r="B13" s="113" t="s">
        <v>156</v>
      </c>
      <c r="C13" s="33">
        <v>282000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3" t="s">
        <v>157</v>
      </c>
      <c r="C14" s="33">
        <v>12737</v>
      </c>
      <c r="D14" s="46" t="s">
        <v>31</v>
      </c>
      <c r="E14" s="33">
        <v>40175.800000000003</v>
      </c>
      <c r="F14" s="46" t="s">
        <v>31</v>
      </c>
      <c r="G14" s="11"/>
    </row>
    <row r="15" spans="1:7" ht="15" customHeight="1" x14ac:dyDescent="0.25">
      <c r="A15" s="11"/>
      <c r="B15" s="113" t="s">
        <v>158</v>
      </c>
      <c r="C15" s="33">
        <v>10000</v>
      </c>
      <c r="D15" s="46" t="s">
        <v>31</v>
      </c>
      <c r="E15" s="33">
        <v>70167.73</v>
      </c>
      <c r="F15" s="46" t="s">
        <v>31</v>
      </c>
      <c r="G15" s="11"/>
    </row>
    <row r="16" spans="1:7" ht="15" customHeight="1" x14ac:dyDescent="0.25">
      <c r="A16" s="11"/>
      <c r="B16" s="113" t="s">
        <v>159</v>
      </c>
      <c r="C16" s="33">
        <v>164539.84</v>
      </c>
      <c r="D16" s="46" t="s">
        <v>31</v>
      </c>
      <c r="E16" s="33">
        <v>344441.11</v>
      </c>
      <c r="F16" s="46" t="s">
        <v>31</v>
      </c>
      <c r="G16" s="11"/>
    </row>
    <row r="17" spans="1:7" ht="15" customHeight="1" x14ac:dyDescent="0.25">
      <c r="A17" s="11"/>
      <c r="B17" s="113" t="s">
        <v>160</v>
      </c>
      <c r="C17" s="33">
        <v>10000</v>
      </c>
      <c r="D17" s="46" t="s">
        <v>31</v>
      </c>
      <c r="E17" s="33">
        <v>115831.03</v>
      </c>
      <c r="F17" s="46" t="s">
        <v>31</v>
      </c>
      <c r="G17" s="11"/>
    </row>
    <row r="18" spans="1:7" ht="15" customHeight="1" x14ac:dyDescent="0.25">
      <c r="A18" s="11"/>
      <c r="B18" s="113" t="s">
        <v>161</v>
      </c>
      <c r="C18" s="33">
        <v>0</v>
      </c>
      <c r="D18" s="46" t="s">
        <v>31</v>
      </c>
      <c r="E18" s="33">
        <v>17997.98</v>
      </c>
      <c r="F18" s="46" t="s">
        <v>31</v>
      </c>
      <c r="G18" s="11"/>
    </row>
    <row r="19" spans="1:7" ht="15" customHeight="1" x14ac:dyDescent="0.25">
      <c r="A19" s="11"/>
      <c r="B19" s="113" t="s">
        <v>162</v>
      </c>
      <c r="C19" s="33">
        <v>0</v>
      </c>
      <c r="D19" s="46" t="s">
        <v>31</v>
      </c>
      <c r="E19" s="33">
        <v>198184.25</v>
      </c>
      <c r="F19" s="46" t="s">
        <v>31</v>
      </c>
      <c r="G19" s="11"/>
    </row>
    <row r="20" spans="1:7" ht="15" customHeight="1" x14ac:dyDescent="0.25">
      <c r="A20" s="11"/>
      <c r="B20" s="113" t="s">
        <v>163</v>
      </c>
      <c r="C20" s="33">
        <v>55000</v>
      </c>
      <c r="D20" s="46" t="s">
        <v>31</v>
      </c>
      <c r="E20" s="33">
        <v>21536.46</v>
      </c>
      <c r="F20" s="46" t="s">
        <v>31</v>
      </c>
      <c r="G20" s="11"/>
    </row>
    <row r="21" spans="1:7" ht="15" customHeight="1" x14ac:dyDescent="0.25">
      <c r="A21" s="11"/>
      <c r="B21" s="113" t="s">
        <v>164</v>
      </c>
      <c r="C21" s="33">
        <v>227645</v>
      </c>
      <c r="D21" s="46" t="s">
        <v>31</v>
      </c>
      <c r="E21" s="33">
        <v>126374.15</v>
      </c>
      <c r="F21" s="46" t="s">
        <v>31</v>
      </c>
      <c r="G21" s="11"/>
    </row>
    <row r="22" spans="1:7" ht="15" customHeight="1" x14ac:dyDescent="0.25">
      <c r="A22" s="11"/>
      <c r="B22" s="113" t="s">
        <v>172</v>
      </c>
      <c r="C22" s="33">
        <v>8300</v>
      </c>
      <c r="D22" s="46" t="s">
        <v>31</v>
      </c>
      <c r="E22" s="33">
        <v>12695</v>
      </c>
      <c r="F22" s="46" t="s">
        <v>31</v>
      </c>
      <c r="G22" s="11"/>
    </row>
    <row r="23" spans="1:7" ht="15" customHeight="1" x14ac:dyDescent="0.25">
      <c r="A23" s="11"/>
      <c r="B23" s="25" t="s">
        <v>105</v>
      </c>
      <c r="C23" s="101">
        <f>SUM(C10:C22)</f>
        <v>936423.5</v>
      </c>
      <c r="D23" s="102" t="s">
        <v>31</v>
      </c>
      <c r="E23" s="101">
        <f>SUM(E10:E22)</f>
        <v>1267862.8399999999</v>
      </c>
      <c r="F23" s="102" t="s">
        <v>31</v>
      </c>
      <c r="G23" s="11"/>
    </row>
    <row r="24" spans="1:7" ht="15" customHeight="1" x14ac:dyDescent="0.25">
      <c r="A24" s="11"/>
      <c r="B24" s="113" t="s">
        <v>35</v>
      </c>
      <c r="C24" s="33">
        <f>-C23*'8. Nøgletal'!C23</f>
        <v>0</v>
      </c>
      <c r="D24" s="46" t="s">
        <v>31</v>
      </c>
      <c r="E24" s="33">
        <f>-E23*'8. Nøgletal'!C23</f>
        <v>0</v>
      </c>
      <c r="F24" s="46" t="s">
        <v>31</v>
      </c>
      <c r="G24" s="11"/>
    </row>
    <row r="25" spans="1:7" ht="15" customHeight="1" x14ac:dyDescent="0.25">
      <c r="A25" s="11"/>
      <c r="B25" s="113" t="s">
        <v>36</v>
      </c>
      <c r="C25" s="33">
        <f>-C23*'8. Nøgletal'!C19</f>
        <v>-18728.47</v>
      </c>
      <c r="D25" s="46" t="s">
        <v>31</v>
      </c>
      <c r="E25" s="33">
        <f>-E23*'8. Nøgletal'!C14</f>
        <v>0</v>
      </c>
      <c r="F25" s="46" t="s">
        <v>31</v>
      </c>
      <c r="G25" s="11"/>
    </row>
    <row r="26" spans="1:7" ht="15" customHeight="1" x14ac:dyDescent="0.25">
      <c r="A26" s="11"/>
      <c r="B26" s="113" t="s">
        <v>37</v>
      </c>
      <c r="C26" s="33">
        <f>SUM(C23:C25)*'8. Nøgletal'!C9</f>
        <v>26521.386366999999</v>
      </c>
      <c r="D26" s="46" t="s">
        <v>31</v>
      </c>
      <c r="E26" s="33">
        <f>SUM(E23:E25)*'8. Nøgletal'!C9</f>
        <v>36641.236075999994</v>
      </c>
      <c r="F26" s="46" t="s">
        <v>31</v>
      </c>
      <c r="G26" s="11"/>
    </row>
    <row r="27" spans="1:7" ht="26.25" customHeight="1" x14ac:dyDescent="0.25">
      <c r="A27" s="11"/>
      <c r="B27" s="106" t="s">
        <v>106</v>
      </c>
      <c r="C27" s="101">
        <f>SUM(C23:C26)</f>
        <v>944216.41636699997</v>
      </c>
      <c r="D27" s="102" t="s">
        <v>31</v>
      </c>
      <c r="E27" s="101">
        <f>SUM(E23:E26)</f>
        <v>1304504.0760759998</v>
      </c>
      <c r="F27" s="102" t="s">
        <v>31</v>
      </c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  <row r="29" spans="1:7" ht="15" customHeight="1" x14ac:dyDescent="0.25">
      <c r="A29" s="11"/>
      <c r="B29" s="11"/>
      <c r="C29" s="11"/>
      <c r="D29" s="11"/>
      <c r="E29" s="11"/>
      <c r="F29" s="11"/>
      <c r="G29" s="11"/>
    </row>
  </sheetData>
  <sheetProtection algorithmName="SHA-512" hashValue="RimFG4uk0UGc7bVnQCiey+6jwev706BRCRhlR1IQW1usdNU8zJlPOKV9NhS3zUMOWzQCFWNCSgpLU2x8FmPvOA==" saltValue="qDTg5sOnX6SZHCMzolkTn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2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18</v>
      </c>
      <c r="C8" s="85"/>
      <c r="D8" s="85"/>
      <c r="E8" s="85"/>
      <c r="F8" s="86"/>
      <c r="G8" s="11"/>
    </row>
    <row r="9" spans="1:7" ht="15" customHeight="1" x14ac:dyDescent="0.25">
      <c r="A9" s="11"/>
      <c r="B9" s="110" t="s">
        <v>52</v>
      </c>
      <c r="C9" s="35" t="s">
        <v>53</v>
      </c>
      <c r="D9" s="111"/>
      <c r="E9" s="35" t="s">
        <v>54</v>
      </c>
      <c r="F9" s="112"/>
      <c r="G9" s="11"/>
    </row>
    <row r="10" spans="1:7" ht="15" customHeight="1" x14ac:dyDescent="0.25">
      <c r="A10" s="11"/>
      <c r="B10" s="113" t="s">
        <v>169</v>
      </c>
      <c r="C10" s="33">
        <v>107612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3" t="s">
        <v>165</v>
      </c>
      <c r="C11" s="33">
        <v>264410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3" t="s">
        <v>154</v>
      </c>
      <c r="C12" s="33">
        <v>120132.18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113" t="s">
        <v>166</v>
      </c>
      <c r="C13" s="33">
        <v>413217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13" t="s">
        <v>159</v>
      </c>
      <c r="C14" s="33">
        <v>0</v>
      </c>
      <c r="D14" s="46" t="s">
        <v>31</v>
      </c>
      <c r="E14" s="33">
        <v>292390</v>
      </c>
      <c r="F14" s="46" t="s">
        <v>31</v>
      </c>
      <c r="G14" s="11"/>
    </row>
    <row r="15" spans="1:7" ht="15" customHeight="1" x14ac:dyDescent="0.25">
      <c r="A15" s="11"/>
      <c r="B15" s="113" t="s">
        <v>167</v>
      </c>
      <c r="C15" s="33">
        <v>448589</v>
      </c>
      <c r="D15" s="46" t="s">
        <v>31</v>
      </c>
      <c r="E15" s="33">
        <v>0</v>
      </c>
      <c r="F15" s="46" t="s">
        <v>31</v>
      </c>
      <c r="G15" s="11"/>
    </row>
    <row r="16" spans="1:7" ht="15" customHeight="1" x14ac:dyDescent="0.25">
      <c r="A16" s="11"/>
      <c r="B16" s="113" t="s">
        <v>162</v>
      </c>
      <c r="C16" s="33">
        <v>0</v>
      </c>
      <c r="D16" s="46" t="s">
        <v>31</v>
      </c>
      <c r="E16" s="33">
        <v>112157</v>
      </c>
      <c r="F16" s="46" t="s">
        <v>31</v>
      </c>
      <c r="G16" s="11"/>
    </row>
    <row r="17" spans="1:7" ht="15" customHeight="1" x14ac:dyDescent="0.25">
      <c r="A17" s="11"/>
      <c r="B17" s="113" t="s">
        <v>168</v>
      </c>
      <c r="C17" s="33">
        <v>129735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113" t="s">
        <v>164</v>
      </c>
      <c r="C18" s="33">
        <v>0</v>
      </c>
      <c r="D18" s="46" t="s">
        <v>31</v>
      </c>
      <c r="E18" s="33">
        <v>104892</v>
      </c>
      <c r="F18" s="46" t="s">
        <v>31</v>
      </c>
      <c r="G18" s="11"/>
    </row>
    <row r="19" spans="1:7" ht="15" customHeight="1" x14ac:dyDescent="0.25">
      <c r="A19" s="11"/>
      <c r="B19" s="113" t="s">
        <v>172</v>
      </c>
      <c r="C19" s="33">
        <v>16438</v>
      </c>
      <c r="D19" s="46" t="s">
        <v>31</v>
      </c>
      <c r="E19" s="33"/>
      <c r="F19" s="46"/>
      <c r="G19" s="11"/>
    </row>
    <row r="20" spans="1:7" ht="15" customHeight="1" x14ac:dyDescent="0.25">
      <c r="A20" s="11"/>
      <c r="B20" s="25" t="s">
        <v>107</v>
      </c>
      <c r="C20" s="101">
        <f>SUM(C10:C19)</f>
        <v>1500133.18</v>
      </c>
      <c r="D20" s="102" t="s">
        <v>31</v>
      </c>
      <c r="E20" s="101">
        <f>SUM(E10:E18)</f>
        <v>509439</v>
      </c>
      <c r="F20" s="102" t="s">
        <v>31</v>
      </c>
      <c r="G20" s="11"/>
    </row>
    <row r="21" spans="1:7" ht="15" customHeight="1" x14ac:dyDescent="0.25">
      <c r="A21" s="11"/>
      <c r="B21" s="11"/>
      <c r="C21" s="11"/>
      <c r="D21" s="11"/>
      <c r="E21" s="11"/>
      <c r="F21" s="11"/>
      <c r="G21" s="11"/>
    </row>
    <row r="22" spans="1:7" ht="15" customHeight="1" x14ac:dyDescent="0.25">
      <c r="A22" s="11"/>
      <c r="B22" s="114"/>
      <c r="C22" s="114"/>
      <c r="D22" s="114"/>
      <c r="E22" s="114"/>
      <c r="F22" s="114"/>
      <c r="G22" s="11"/>
    </row>
  </sheetData>
  <sheetProtection algorithmName="SHA-512" hashValue="MKeFZgFr0Gbgp7mvWpcJ9QPZXAMmTl3CnzHvlto7xSPn2kDrKjvzs/YNySjFcawmWfdOa9MKnZ/8it+Z4YbLFg==" saltValue="jUizwgksIFP9QxWdFxSj/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4" t="s">
        <v>108</v>
      </c>
      <c r="C8" s="85"/>
      <c r="D8" s="86"/>
      <c r="E8" s="11"/>
    </row>
    <row r="9" spans="1:5" ht="15" customHeight="1" x14ac:dyDescent="0.25">
      <c r="A9" s="11"/>
      <c r="B9" s="115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6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6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7" t="s">
        <v>110</v>
      </c>
      <c r="C12" s="101">
        <f>SUM(C9:C11)*(1+'8. Nøgletal'!C9)*(1+'8. Nøgletal'!C10)</f>
        <v>0</v>
      </c>
      <c r="D12" s="102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DN7q3DziPME0yw+zRfDFyYQDRnOta4q0Co+TbmvFpbUKRa4yP/MHhdFYTd6GrP3YOqCU0xtIz5MpM9Frx9wctA==" saltValue="COQgW3Piy/jh+FfbBClN1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4" t="s">
        <v>57</v>
      </c>
      <c r="C8" s="85"/>
      <c r="D8" s="86"/>
      <c r="E8" s="11"/>
    </row>
    <row r="9" spans="1:5" ht="26.25" x14ac:dyDescent="0.25">
      <c r="A9" s="11"/>
      <c r="B9" s="118" t="s">
        <v>112</v>
      </c>
      <c r="C9" s="119"/>
      <c r="D9" s="118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4" t="s">
        <v>59</v>
      </c>
      <c r="C12" s="85"/>
      <c r="D12" s="86"/>
      <c r="E12" s="11"/>
    </row>
    <row r="13" spans="1:5" ht="26.25" customHeight="1" x14ac:dyDescent="0.25">
      <c r="A13" s="11"/>
      <c r="B13" s="118" t="s">
        <v>143</v>
      </c>
      <c r="C13" s="119"/>
      <c r="D13" s="118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1">
        <f>C11+C15</f>
        <v>0</v>
      </c>
      <c r="D16" s="102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rAd6XF4YY9FupnsTcJkkMv6aF560v/rixtoCRT/wWJHPr8NaCqYZZVRMOIuHEefSChG/IkShG+m9N5KirRWuLw==" saltValue="Dsc7VUCaGpcTwZAYWttwR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0" t="s">
        <v>63</v>
      </c>
      <c r="C9" s="121" t="s">
        <v>65</v>
      </c>
      <c r="D9" s="122"/>
      <c r="E9" s="121" t="s">
        <v>64</v>
      </c>
      <c r="F9" s="122"/>
      <c r="G9" s="121" t="s">
        <v>66</v>
      </c>
      <c r="H9" s="122"/>
      <c r="I9" s="11"/>
    </row>
    <row r="10" spans="1:9" ht="15" customHeight="1" x14ac:dyDescent="0.25">
      <c r="A10" s="11"/>
      <c r="B10" s="115" t="s">
        <v>67</v>
      </c>
      <c r="C10" s="34"/>
      <c r="D10" s="46" t="s">
        <v>31</v>
      </c>
      <c r="E10" s="33">
        <v>225</v>
      </c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1">
        <f>SUM(C10:C10)</f>
        <v>0</v>
      </c>
      <c r="D11" s="101" t="s">
        <v>68</v>
      </c>
      <c r="E11" s="101">
        <f>SUM(E10:E10)</f>
        <v>225</v>
      </c>
      <c r="F11" s="101" t="s">
        <v>68</v>
      </c>
      <c r="G11" s="101">
        <f>SUM(G10:G10)</f>
        <v>0</v>
      </c>
      <c r="H11" s="102" t="s">
        <v>31</v>
      </c>
      <c r="I11" s="11"/>
    </row>
    <row r="12" spans="1:9" ht="15" customHeight="1" x14ac:dyDescent="0.25">
      <c r="A12" s="11"/>
      <c r="B12" s="25" t="s">
        <v>115</v>
      </c>
      <c r="C12" s="101">
        <f>C11*(1+'8. Nøgletal'!C9)</f>
        <v>0</v>
      </c>
      <c r="D12" s="101" t="s">
        <v>68</v>
      </c>
      <c r="E12" s="101">
        <f>E11*(1+'8. Nøgletal'!C9)</f>
        <v>231.50249999999997</v>
      </c>
      <c r="F12" s="101" t="s">
        <v>68</v>
      </c>
      <c r="G12" s="101">
        <f>G11*(1+'8. Nøgletal'!C9)</f>
        <v>0</v>
      </c>
      <c r="H12" s="102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ui4mKLI3txO9+XbS9hdgFb/inL6N1A4/NtLhiE/p+UeeL+Qty3hxq9WsGu7OgLvE4TB2eyhrwYxuCXDX3hyehw==" saltValue="AxFnmpFqkAkPcDajTMb+y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116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71</v>
      </c>
      <c r="C9" s="124" t="s">
        <v>53</v>
      </c>
      <c r="D9" s="125"/>
      <c r="E9" s="124" t="s">
        <v>54</v>
      </c>
      <c r="F9" s="125"/>
      <c r="G9" s="11"/>
    </row>
    <row r="10" spans="1:7" ht="15" customHeight="1" x14ac:dyDescent="0.25">
      <c r="A10" s="11"/>
      <c r="B10" s="126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1">
        <f>SUM(C10:C10)</f>
        <v>0</v>
      </c>
      <c r="D11" s="102" t="s">
        <v>31</v>
      </c>
      <c r="E11" s="101">
        <f>SUM(E10:E10)</f>
        <v>0</v>
      </c>
      <c r="F11" s="102" t="s">
        <v>31</v>
      </c>
      <c r="G11" s="11"/>
    </row>
    <row r="12" spans="1:7" ht="15" customHeight="1" x14ac:dyDescent="0.25">
      <c r="A12" s="11"/>
      <c r="B12" s="25" t="s">
        <v>117</v>
      </c>
      <c r="C12" s="101">
        <f>C11*(1+'8. Nøgletal'!C9)</f>
        <v>0</v>
      </c>
      <c r="D12" s="102" t="s">
        <v>31</v>
      </c>
      <c r="E12" s="101">
        <f>E11*(1+'8. Nøgletal'!C9)</f>
        <v>0</v>
      </c>
      <c r="F12" s="102" t="s">
        <v>31</v>
      </c>
      <c r="G12" s="9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4"/>
      <c r="C14" s="114"/>
      <c r="D14" s="114"/>
      <c r="E14" s="114"/>
      <c r="F14" s="114"/>
      <c r="G14" s="11"/>
    </row>
  </sheetData>
  <sheetProtection algorithmName="SHA-512" hashValue="Vb+/QXA1G3rekf/497SPyaypXewDQlnmHvlIH6fXmwXPJ8gm7rrZ18imdKQqYsmpLh8H5JAFvL3q5zzmIv8NLA==" saltValue="Z3F8RDPt6jjKlz0B3smiO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4" t="s">
        <v>26</v>
      </c>
      <c r="C8" s="85"/>
      <c r="D8" s="85"/>
      <c r="E8" s="85"/>
      <c r="F8" s="86"/>
      <c r="G8" s="11"/>
    </row>
    <row r="9" spans="1:7" ht="15" customHeight="1" x14ac:dyDescent="0.25">
      <c r="A9" s="11"/>
      <c r="B9" s="123" t="s">
        <v>75</v>
      </c>
      <c r="C9" s="127" t="s">
        <v>53</v>
      </c>
      <c r="D9" s="112"/>
      <c r="E9" s="127" t="s">
        <v>54</v>
      </c>
      <c r="F9" s="112"/>
      <c r="G9" s="11"/>
    </row>
    <row r="10" spans="1:7" ht="26.25" customHeight="1" x14ac:dyDescent="0.25">
      <c r="A10" s="11"/>
      <c r="B10" s="128" t="s">
        <v>134</v>
      </c>
      <c r="C10" s="129"/>
      <c r="D10" s="130" t="s">
        <v>31</v>
      </c>
      <c r="E10" s="129"/>
      <c r="F10" s="130" t="s">
        <v>31</v>
      </c>
      <c r="G10" s="11"/>
    </row>
    <row r="11" spans="1:7" ht="26.25" customHeight="1" x14ac:dyDescent="0.25">
      <c r="A11" s="11"/>
      <c r="B11" s="131" t="s">
        <v>135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PwjgUZhvHSOFx2BT5ezzSkFFlqOiujyCFf8MjPLBQk3UshEB3pZ3sJgRPGLkZkPG61QPQ5YBM370FxuI9Q/RwA==" saltValue="gsU7Un/asoTDVn1jBZ+3b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2.8899999999999999E-2</v>
      </c>
      <c r="D9" s="22"/>
    </row>
    <row r="10" spans="1:4" ht="15" customHeight="1" x14ac:dyDescent="0.25">
      <c r="A10" s="11"/>
      <c r="B10" s="134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3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3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5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3"/>
      <c r="C21" s="11"/>
      <c r="D21" s="11"/>
    </row>
    <row r="22" spans="1:4" ht="15" customHeight="1" x14ac:dyDescent="0.25">
      <c r="A22" s="11"/>
      <c r="B22" s="84" t="s">
        <v>35</v>
      </c>
      <c r="C22" s="86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4"/>
      <c r="C25" s="86"/>
      <c r="D25" s="11"/>
    </row>
    <row r="26" spans="1:4" ht="15" customHeight="1" x14ac:dyDescent="0.25">
      <c r="A26" s="11"/>
      <c r="B26" s="83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GCJQ4nCdcVKzmSUF4Cwa5FRz7AOzHKb5zKuq5LtSpp6wCKZcQwOqOgYlyLlrGvnUpV348/KIapCCZTTDm5vLRg==" saltValue="z5d4KEbaFF7AOYS+5pKCkg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2026-10-07T10:50:24Z</dcterms:modified>
</cp:coreProperties>
</file>