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Lolland Spildevand AS (S063)\ØR2023\"/>
    </mc:Choice>
  </mc:AlternateContent>
  <bookViews>
    <workbookView xWindow="3120" yWindow="990" windowWidth="12750" windowHeight="4620" tabRatio="872" firstSheet="13" activeTab="19"/>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36" i="2" l="1"/>
  <c r="C13" i="19" l="1"/>
  <c r="E34" i="27" l="1"/>
  <c r="C21" i="23"/>
  <c r="C21" i="22"/>
  <c r="C22" i="15"/>
  <c r="C38" i="2"/>
  <c r="G18" i="41" l="1"/>
  <c r="E26" i="32" l="1"/>
  <c r="E34" i="32" l="1"/>
  <c r="E36" i="32" s="1"/>
  <c r="C19" i="22" s="1"/>
  <c r="E30" i="32"/>
  <c r="F10" i="11"/>
  <c r="C20" i="15" l="1"/>
  <c r="C19" i="23"/>
  <c r="J11" i="11" l="1"/>
  <c r="H11" i="11"/>
  <c r="C14" i="19" l="1"/>
  <c r="C15" i="23" l="1"/>
  <c r="C15" i="22"/>
  <c r="C16" i="15"/>
  <c r="C24" i="2"/>
  <c r="G34" i="30"/>
  <c r="C11" i="2"/>
  <c r="C10" i="2"/>
  <c r="C10" i="37" l="1"/>
  <c r="C13" i="37" s="1"/>
  <c r="G7" i="30" l="1"/>
  <c r="G11" i="30" s="1"/>
  <c r="E10" i="39" l="1"/>
  <c r="E11" i="39" s="1"/>
  <c r="C10" i="39"/>
  <c r="C11" i="39" s="1"/>
  <c r="E16" i="27" l="1"/>
  <c r="E30" i="20" l="1"/>
  <c r="E29" i="20"/>
  <c r="E17" i="20"/>
  <c r="E11" i="20"/>
  <c r="E31" i="20" l="1"/>
  <c r="C17" i="23" s="1"/>
  <c r="C29" i="2"/>
  <c r="C28" i="2"/>
  <c r="C31" i="2" l="1"/>
  <c r="C30" i="2"/>
  <c r="E16" i="40"/>
  <c r="E12" i="40"/>
  <c r="G26" i="30"/>
  <c r="G33" i="30" s="1"/>
  <c r="C32" i="2" l="1"/>
  <c r="G33" i="36" l="1"/>
  <c r="G25" i="36"/>
  <c r="G32" i="36" s="1"/>
  <c r="G7" i="36"/>
  <c r="G11" i="36" s="1"/>
  <c r="G14" i="36" s="1"/>
  <c r="G18" i="36" l="1"/>
  <c r="G20" i="36" l="1"/>
  <c r="G24" i="36"/>
  <c r="G31" i="36" l="1"/>
  <c r="G35" i="36" s="1"/>
  <c r="G27" i="36"/>
  <c r="G39" i="36" l="1"/>
  <c r="G41" i="36" l="1"/>
  <c r="G45" i="36" s="1"/>
  <c r="F11" i="11" l="1"/>
  <c r="E10" i="37" s="1"/>
  <c r="E13" i="37" s="1"/>
  <c r="G15" i="30"/>
  <c r="E24" i="20" l="1"/>
  <c r="E18" i="20"/>
  <c r="E12" i="20"/>
  <c r="E13" i="20" s="1"/>
  <c r="E19" i="20" l="1"/>
  <c r="C18" i="15" s="1"/>
  <c r="E17" i="40"/>
  <c r="C34" i="2" s="1"/>
  <c r="E23" i="20"/>
  <c r="E25" i="20" s="1"/>
  <c r="C17" i="22" s="1"/>
  <c r="C26" i="2"/>
  <c r="E12" i="21" l="1"/>
  <c r="E13" i="21" s="1"/>
  <c r="C12" i="21"/>
  <c r="C13" i="21" s="1"/>
  <c r="C15" i="2" l="1"/>
  <c r="C14" i="2"/>
  <c r="G19" i="30" l="1"/>
  <c r="G25" i="30" s="1"/>
  <c r="G21" i="30" l="1"/>
  <c r="G28" i="30"/>
  <c r="G32" i="30"/>
  <c r="G36" i="30" s="1"/>
  <c r="G40" i="30" s="1"/>
  <c r="C14" i="37" l="1"/>
  <c r="C12" i="2" s="1"/>
  <c r="E11" i="29"/>
  <c r="E12" i="29" s="1"/>
  <c r="C11" i="29"/>
  <c r="C12" i="29" s="1"/>
  <c r="C17" i="2" l="1"/>
  <c r="C16" i="2"/>
  <c r="G47" i="30" s="1"/>
  <c r="G42" i="30" l="1"/>
  <c r="E14"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<sst xmlns="http://schemas.openxmlformats.org/spreadsheetml/2006/main" count="628" uniqueCount="294">
  <si>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</si>
  <si>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</si>
  <si>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</si>
  <si>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</si>
  <si>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</si>
  <si>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</si>
  <si>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</si>
  <si>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</si>
  <si>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</si>
  <si>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</si>
  <si>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</si>
  <si>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</si>
  <si>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</si>
  <si>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</si>
  <si>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</si>
  <si>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</si>
  <si>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</si>
  <si>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</si>
  <si>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</si>
  <si>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</si>
  <si>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</si>
  <si>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</si>
  <si>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</si>
  <si>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</si>
  <si>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</si>
  <si>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</si>
  <si>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</si>
  <si>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</si>
  <si>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</si>
  <si>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</si>
  <si>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</si>
  <si>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</si>
  <si>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</si>
  <si>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</si>
  <si>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</si>
  <si>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</si>
  <si>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</si>
  <si>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</si>
  <si>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</si>
  <si>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</si>
  <si>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</si>
  <si>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</si>
  <si>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</si>
  <si>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</si>
  <si>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</si>
  <si>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</si>
  <si>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</si>
  <si>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</si>
  <si>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</si>
  <si>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</si>
  <si>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</si>
  <si>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</si>
  <si>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</si>
  <si>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</si>
  <si>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</si>
  <si>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</si>
  <si>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</si>
  <si>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</si>
  <si>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</si>
  <si>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</si>
  <si>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</si>
  <si>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</si>
  <si>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</si>
  <si>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</si>
  <si>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</si>
  <si>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</si>
  <si>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</si>
  <si>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</si>
  <si>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</si>
  <si>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</si>
  <si>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</si>
  <si>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</si>
  <si>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</si>
  <si>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</si>
  <si>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</si>
  <si>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</si>
  <si>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</si>
  <si>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</si>
  <si>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</si>
  <si>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</si>
  <si>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</si>
  <si>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</si>
  <si>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</si>
  <si>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</si>
  <si>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</si>
  <si>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</si>
  <si>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</si>
  <si>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</si>
  <si>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</si>
  <si>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</si>
  <si>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</si>
  <si>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</si>
  <si>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</si>
  <si>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</si>
  <si>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</si>
  <si>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</si>
  <si>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</si>
  <si>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</si>
  <si>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</si>
  <si>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</si>
  <si>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</si>
  <si>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</si>
  <si>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</si>
  <si>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</si>
  <si>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</si>
  <si>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</si>
  <si>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</si>
  <si>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</si>
  <si>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</si>
  <si>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</si>
  <si>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</si>
  <si>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</si>
  <si>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</si>
  <si>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</si>
  <si>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</si>
  <si>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</si>
  <si>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</si>
  <si>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</si>
  <si>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</si>
  <si>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</si>
  <si>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</si>
  <si>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</si>
  <si>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</si>
  <si>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</si>
  <si>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</si>
  <si>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</si>
  <si>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</si>
  <si>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</si>
  <si>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</si>
  <si>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</si>
  <si>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</si>
  <si>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</si>
  <si>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</si>
  <si>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</si>
  <si>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</si>
  <si>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</si>
  <si>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</si>
  <si>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</si>
  <si>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</si>
  <si>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</si>
  <si>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</si>
  <si>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</si>
  <si>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</si>
  <si>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</si>
  <si>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</si>
  <si>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</si>
  <si>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</si>
  <si>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</si>
  <si>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</si>
  <si>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</si>
  <si>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</si>
  <si>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</si>
  <si>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</si>
  <si>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</si>
  <si>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</si>
  <si>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</si>
  <si>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</si>
  <si>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</si>
  <si>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</si>
  <si>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</si>
  <si>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</si>
  <si>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</si>
  <si>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</si>
  <si>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</si>
  <si>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</si>
  <si>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</si>
  <si>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</si>
  <si>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</si>
  <si>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</si>
  <si>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</si>
  <si>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</si>
  <si>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</si>
  <si>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</si>
  <si>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</si>
  <si>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</si>
  <si>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</si>
  <si>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</si>
  <si>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</si>
  <si>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</si>
  <si>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</si>
  <si>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</si>
  <si>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</si>
  <si>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</si>
  <si>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</si>
  <si>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</si>
  <si>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</si>
  <si>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</si>
  <si>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</si>
  <si>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</si>
  <si>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</si>
  <si>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</si>
  <si>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</si>
  <si>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</si>
  <si>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</si>
  <si>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</si>
  <si>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</si>
  <si>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</si>
  <si>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</si>
  <si>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</si>
  <si>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</si>
  <si>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</si>
  <si>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</si>
  <si>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</si>
  <si>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</si>
  <si>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</si>
  <si>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</si>
  <si>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</si>
  <si>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</si>
  <si>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</si>
  <si>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</si>
  <si>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</si>
  <si>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</si>
  <si>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</si>
  <si>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</si>
  <si>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</si>
  <si>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</si>
  <si>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</si>
  <si>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</si>
  <si>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</si>
  <si>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</si>
  <si>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</si>
  <si>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</si>
  <si>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</si>
  <si>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</si>
  <si>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</si>
  <si>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</si>
  <si>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</si>
  <si>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</si>
  <si>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</si>
  <si>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</si>
  <si>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</si>
  <si>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</si>
  <si>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</si>
  <si>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</si>
  <si>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</si>
  <si>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</si>
  <si>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</si>
  <si>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</si>
  <si>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</si>
  <si>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</si>
  <si>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</si>
  <si>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</si>
  <si>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</si>
  <si>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</si>
  <si>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</si>
  <si>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</si>
  <si>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</si>
  <si>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</si>
  <si>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</si>
  <si>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</si>
  <si>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</si>
  <si>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</si>
  <si>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</si>
  <si>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</si>
  <si>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</si>
  <si>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</si>
  <si>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</si>
  <si>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</si>
  <si>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</si>
  <si>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</si>
  <si>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</si>
  <si>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</si>
  <si>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</si>
  <si>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</si>
  <si>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</si>
  <si>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</si>
  <si>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</si>
  <si>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</si>
  <si>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</si>
  <si>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</si>
  <si>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</si>
  <si>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</si>
  <si>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</si>
  <si>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</si>
  <si>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</si>
  <si>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</si>
  <si>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</si>
  <si>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</si>
  <si>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</si>
  <si>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</si>
  <si>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Ejendomsskatter</t>
  </si>
  <si>
    <t>Klimatilpasningsprojekter</t>
  </si>
  <si>
    <t>Udvidelser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</si>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</sst>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9"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18" fillId="0" borderId="7" xfId="4" applyNumberFormat="1" applyFont="1" applyBorder="1" applyProtection="1"/>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8" borderId="10" xfId="0" applyFont="1" applyFill="1" applyBorder="1" applyAlignment="1" applyProtection="1">
      <alignment horizontal="center" vertical="top" wrapText="1"/>
    </xf>
    <xf numFmtId="0" fontId="8" fillId="8" borderId="11"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1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view="pageLayout" topLeftCell="A9" zoomScaleNormal="100" workbookViewId="0">
      <selection activeCell="D39" sqref="D39"/>
    </sheetView>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4" t="s">
        <v>232</v>
      </c>
      <c r="E8" s="104"/>
      <c r="F8" s="104"/>
      <c r="G8" s="10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1"/>
      <c r="I12" s="1"/>
    </row>
    <row r="13" spans="1:9" x14ac:dyDescent="0.25">
      <c r="A13" s="1"/>
      <c r="B13" s="1"/>
      <c r="C13" s="6" t="s">
        <v>6</v>
      </c>
      <c r="D13" s="105" t="s">
        <v>134</v>
      </c>
      <c r="E13" s="106"/>
      <c r="F13" s="106"/>
      <c r="G13" s="107"/>
      <c r="H13" s="1"/>
      <c r="I13" s="1"/>
    </row>
    <row r="14" spans="1:9" x14ac:dyDescent="0.25">
      <c r="A14" s="1"/>
      <c r="B14" s="1"/>
      <c r="C14" s="6" t="s">
        <v>16</v>
      </c>
      <c r="D14" s="105" t="s">
        <v>235</v>
      </c>
      <c r="E14" s="106"/>
      <c r="F14" s="106"/>
      <c r="G14" s="107"/>
      <c r="H14" s="1"/>
      <c r="I14" s="1"/>
    </row>
    <row r="15" spans="1:9" x14ac:dyDescent="0.25">
      <c r="A15" s="1"/>
      <c r="B15" s="1"/>
      <c r="C15" s="6" t="s">
        <v>34</v>
      </c>
      <c r="D15" s="105" t="s">
        <v>135</v>
      </c>
      <c r="E15" s="106"/>
      <c r="F15" s="106"/>
      <c r="G15" s="107"/>
      <c r="H15" s="1"/>
      <c r="I15" s="1"/>
    </row>
    <row r="16" spans="1:9" x14ac:dyDescent="0.25">
      <c r="A16" s="1"/>
      <c r="B16" s="1"/>
      <c r="C16" s="6" t="s">
        <v>35</v>
      </c>
      <c r="D16" s="105" t="s">
        <v>191</v>
      </c>
      <c r="E16" s="106"/>
      <c r="F16" s="106"/>
      <c r="G16" s="107"/>
      <c r="H16" s="1"/>
      <c r="I16" s="1"/>
    </row>
    <row r="17" spans="1:9" x14ac:dyDescent="0.25">
      <c r="A17" s="1"/>
      <c r="B17" s="1"/>
      <c r="C17" s="6" t="s">
        <v>109</v>
      </c>
      <c r="D17" s="105" t="s">
        <v>192</v>
      </c>
      <c r="E17" s="106"/>
      <c r="F17" s="106"/>
      <c r="G17" s="107"/>
      <c r="H17" s="1"/>
      <c r="I17" s="1"/>
    </row>
    <row r="18" spans="1:9" x14ac:dyDescent="0.25">
      <c r="A18" s="1"/>
      <c r="B18" s="1"/>
      <c r="C18" s="6" t="s">
        <v>94</v>
      </c>
      <c r="D18" s="108" t="s">
        <v>83</v>
      </c>
      <c r="E18" s="109"/>
      <c r="F18" s="109"/>
      <c r="G18" s="110"/>
      <c r="H18" s="1"/>
      <c r="I18" s="1"/>
    </row>
    <row r="19" spans="1:9" x14ac:dyDescent="0.25">
      <c r="A19" s="1"/>
      <c r="B19" s="1"/>
      <c r="C19" s="6" t="s">
        <v>95</v>
      </c>
      <c r="D19" s="108" t="s">
        <v>84</v>
      </c>
      <c r="E19" s="109"/>
      <c r="F19" s="109"/>
      <c r="G19" s="110"/>
      <c r="H19" s="1"/>
      <c r="I19" s="1"/>
    </row>
    <row r="20" spans="1:9" x14ac:dyDescent="0.25">
      <c r="A20" s="1"/>
      <c r="B20" s="1"/>
      <c r="C20" s="6" t="s">
        <v>7</v>
      </c>
      <c r="D20" s="108" t="s">
        <v>10</v>
      </c>
      <c r="E20" s="109"/>
      <c r="F20" s="109"/>
      <c r="G20" s="110"/>
      <c r="H20" s="1"/>
      <c r="I20" s="1"/>
    </row>
    <row r="21" spans="1:9" x14ac:dyDescent="0.25">
      <c r="A21" s="1"/>
      <c r="B21" s="1"/>
      <c r="C21" s="6" t="s">
        <v>96</v>
      </c>
      <c r="D21" s="114" t="s">
        <v>12</v>
      </c>
      <c r="E21" s="115"/>
      <c r="F21" s="115"/>
      <c r="G21" s="116"/>
      <c r="H21" s="1"/>
      <c r="I21" s="1"/>
    </row>
    <row r="22" spans="1:9" x14ac:dyDescent="0.25">
      <c r="A22" s="1"/>
      <c r="B22" s="1"/>
      <c r="C22" s="6" t="s">
        <v>71</v>
      </c>
      <c r="D22" s="100" t="s">
        <v>193</v>
      </c>
      <c r="E22" s="101"/>
      <c r="F22" s="101"/>
      <c r="G22" s="102"/>
      <c r="H22" s="1"/>
      <c r="I22" s="1"/>
    </row>
    <row r="23" spans="1:9" x14ac:dyDescent="0.25">
      <c r="A23" s="1"/>
      <c r="B23" s="1"/>
      <c r="C23" s="6" t="s">
        <v>8</v>
      </c>
      <c r="D23" s="100" t="s">
        <v>251</v>
      </c>
      <c r="E23" s="101"/>
      <c r="F23" s="101"/>
      <c r="G23" s="102"/>
      <c r="H23" s="1"/>
      <c r="I23" s="1"/>
    </row>
    <row r="24" spans="1:9" x14ac:dyDescent="0.25">
      <c r="A24" s="1"/>
      <c r="B24" s="1"/>
      <c r="C24" s="6" t="s">
        <v>9</v>
      </c>
      <c r="D24" s="100" t="s">
        <v>194</v>
      </c>
      <c r="E24" s="101"/>
      <c r="F24" s="101"/>
      <c r="G24" s="102"/>
      <c r="H24" s="1"/>
      <c r="I24" s="1"/>
    </row>
    <row r="25" spans="1:9" x14ac:dyDescent="0.25">
      <c r="A25" s="1"/>
      <c r="B25" s="1"/>
      <c r="C25" s="6" t="s">
        <v>264</v>
      </c>
      <c r="D25" s="100" t="s">
        <v>246</v>
      </c>
      <c r="E25" s="101"/>
      <c r="F25" s="101"/>
      <c r="G25" s="102"/>
      <c r="H25" s="1"/>
      <c r="I25" s="1"/>
    </row>
    <row r="26" spans="1:9" x14ac:dyDescent="0.25">
      <c r="A26" s="1"/>
      <c r="B26" s="1"/>
      <c r="C26" s="6" t="s">
        <v>265</v>
      </c>
      <c r="D26" s="100" t="s">
        <v>72</v>
      </c>
      <c r="E26" s="101"/>
      <c r="F26" s="101"/>
      <c r="G26" s="102"/>
      <c r="H26" s="1"/>
      <c r="I26" s="1"/>
    </row>
    <row r="27" spans="1:9" x14ac:dyDescent="0.25">
      <c r="A27" s="1"/>
      <c r="B27" s="1"/>
      <c r="C27" s="6" t="s">
        <v>266</v>
      </c>
      <c r="D27" s="100" t="s">
        <v>73</v>
      </c>
      <c r="E27" s="101"/>
      <c r="F27" s="101"/>
      <c r="G27" s="102"/>
      <c r="H27" s="1"/>
      <c r="I27" s="1"/>
    </row>
    <row r="28" spans="1:9" x14ac:dyDescent="0.25">
      <c r="A28" s="1"/>
      <c r="B28" s="1"/>
      <c r="C28" s="6" t="s">
        <v>15</v>
      </c>
      <c r="D28" s="100" t="s">
        <v>74</v>
      </c>
      <c r="E28" s="101"/>
      <c r="F28" s="101"/>
      <c r="G28" s="102"/>
      <c r="H28" s="1"/>
      <c r="I28" s="1"/>
    </row>
    <row r="29" spans="1:9" x14ac:dyDescent="0.25">
      <c r="A29" s="1"/>
      <c r="B29" s="1"/>
      <c r="C29" s="6" t="s">
        <v>37</v>
      </c>
      <c r="D29" s="100" t="s">
        <v>112</v>
      </c>
      <c r="E29" s="101"/>
      <c r="F29" s="101"/>
      <c r="G29" s="102"/>
      <c r="H29" s="1"/>
      <c r="I29" s="1"/>
    </row>
    <row r="30" spans="1:9" x14ac:dyDescent="0.25">
      <c r="A30" s="1"/>
      <c r="B30" s="1"/>
      <c r="C30" s="6" t="s">
        <v>38</v>
      </c>
      <c r="D30" s="100" t="s">
        <v>36</v>
      </c>
      <c r="E30" s="101"/>
      <c r="F30" s="101"/>
      <c r="G30" s="102"/>
      <c r="H30" s="1"/>
      <c r="I30" s="1"/>
    </row>
    <row r="31" spans="1:9" x14ac:dyDescent="0.25">
      <c r="A31" s="1"/>
      <c r="B31" s="1"/>
      <c r="C31" s="6" t="s">
        <v>267</v>
      </c>
      <c r="D31" s="111" t="s">
        <v>92</v>
      </c>
      <c r="E31" s="112"/>
      <c r="F31" s="112"/>
      <c r="G31" s="11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3"/>
      <c r="B51" s="43"/>
      <c r="C51" s="43"/>
      <c r="D51" s="43"/>
      <c r="E51" s="43"/>
      <c r="F51" s="43"/>
      <c r="G51" s="43"/>
      <c r="H51" s="43"/>
      <c r="I51" s="43"/>
    </row>
  </sheetData>
  <sheetProtection algorithmName="SHA-512" hashValue="xOJ29zqkesDQoFwqAZQctjZqLk/QL8vkux+yIevvFOKr7qYS7XUADOMFiyIPISzUziAf9+iIG7ozTUKSfFkbnQ==" saltValue="OqiYfpyryoeGtbXmmF2lkQ=="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8. Skattesagen'!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topLeftCell="A5"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210</v>
      </c>
      <c r="C8" s="151"/>
      <c r="D8" s="153"/>
      <c r="E8" s="1"/>
      <c r="F8" s="1"/>
    </row>
    <row r="9" spans="1:6" ht="15" customHeight="1" x14ac:dyDescent="0.25">
      <c r="A9" s="1"/>
      <c r="B9" s="35" t="s">
        <v>32</v>
      </c>
      <c r="C9" s="11" t="s">
        <v>247</v>
      </c>
      <c r="D9" s="11"/>
      <c r="E9" s="1"/>
      <c r="F9" s="1"/>
    </row>
    <row r="10" spans="1:6" x14ac:dyDescent="0.25">
      <c r="A10" s="1"/>
      <c r="B10" s="86" t="s">
        <v>278</v>
      </c>
      <c r="C10" s="9">
        <v>1598590</v>
      </c>
      <c r="D10" s="14" t="s">
        <v>3</v>
      </c>
      <c r="E10" s="1"/>
      <c r="F10" s="1"/>
    </row>
    <row r="11" spans="1:6" x14ac:dyDescent="0.25">
      <c r="A11" s="1"/>
      <c r="B11" s="86" t="s">
        <v>279</v>
      </c>
      <c r="C11" s="9">
        <v>123592</v>
      </c>
      <c r="D11" s="14" t="s">
        <v>3</v>
      </c>
      <c r="E11" s="1"/>
      <c r="F11" s="1"/>
    </row>
    <row r="12" spans="1:6" x14ac:dyDescent="0.25">
      <c r="A12" s="1"/>
      <c r="B12" s="86" t="s">
        <v>280</v>
      </c>
      <c r="C12" s="9">
        <v>153294</v>
      </c>
      <c r="D12" s="14" t="s">
        <v>3</v>
      </c>
      <c r="E12" s="1"/>
      <c r="F12" s="1"/>
    </row>
    <row r="13" spans="1:6" x14ac:dyDescent="0.25">
      <c r="A13" s="1"/>
      <c r="B13" s="32" t="s">
        <v>211</v>
      </c>
      <c r="C13" s="12">
        <f>SUM(C10:C12)</f>
        <v>1875476</v>
      </c>
      <c r="D13" s="13" t="s">
        <v>3</v>
      </c>
      <c r="E13" s="1"/>
      <c r="F13" s="1"/>
    </row>
    <row r="14" spans="1:6" x14ac:dyDescent="0.25">
      <c r="A14" s="1"/>
      <c r="B14" s="32" t="s">
        <v>212</v>
      </c>
      <c r="C14" s="12">
        <f>C13*(1+'Fane 15. Nøgletal'!C15)^2</f>
        <v>2011386.7944633602</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50" t="s">
        <v>105</v>
      </c>
      <c r="C17" s="151"/>
      <c r="D17" s="153"/>
      <c r="E17" s="1"/>
      <c r="F17" s="1"/>
    </row>
    <row r="18" spans="1:6" x14ac:dyDescent="0.25">
      <c r="A18" s="1"/>
      <c r="B18" s="86" t="s">
        <v>268</v>
      </c>
      <c r="C18" s="9">
        <v>40000</v>
      </c>
      <c r="D18" s="14" t="s">
        <v>3</v>
      </c>
      <c r="E18" s="1"/>
      <c r="F18" s="1"/>
    </row>
    <row r="19" spans="1:6" x14ac:dyDescent="0.25">
      <c r="A19" s="1"/>
      <c r="B19" s="86" t="s">
        <v>269</v>
      </c>
      <c r="C19" s="9">
        <v>40000</v>
      </c>
      <c r="D19" s="14" t="s">
        <v>3</v>
      </c>
      <c r="E19" s="1"/>
      <c r="F19" s="1"/>
    </row>
    <row r="20" spans="1:6" x14ac:dyDescent="0.25">
      <c r="A20" s="1"/>
      <c r="B20" s="86" t="s">
        <v>270</v>
      </c>
      <c r="C20" s="9">
        <v>40000</v>
      </c>
      <c r="D20" s="14" t="s">
        <v>3</v>
      </c>
      <c r="E20" s="1"/>
      <c r="F20" s="1"/>
    </row>
    <row r="21" spans="1:6" x14ac:dyDescent="0.25">
      <c r="A21" s="1"/>
      <c r="B21" s="28" t="s">
        <v>271</v>
      </c>
      <c r="C21" s="9">
        <v>371242</v>
      </c>
      <c r="D21" s="14" t="s">
        <v>3</v>
      </c>
      <c r="E21" s="1"/>
      <c r="F21" s="1"/>
    </row>
    <row r="22" spans="1:6" x14ac:dyDescent="0.25">
      <c r="A22" s="1"/>
      <c r="B22" s="150"/>
      <c r="C22" s="151"/>
      <c r="D22" s="153"/>
      <c r="E22" s="1"/>
      <c r="F22" s="1"/>
    </row>
    <row r="23" spans="1:6" x14ac:dyDescent="0.25">
      <c r="A23" s="1"/>
      <c r="B23" s="1"/>
      <c r="C23" s="1"/>
      <c r="D23" s="1"/>
      <c r="E23" s="1"/>
      <c r="F23" s="1"/>
    </row>
    <row r="24" spans="1:6" x14ac:dyDescent="0.25">
      <c r="A24" s="1"/>
      <c r="B24" s="1"/>
      <c r="C24" s="1"/>
      <c r="D24" s="1"/>
      <c r="E24" s="1"/>
      <c r="F24" s="1"/>
    </row>
    <row r="25" spans="1:6" x14ac:dyDescent="0.25">
      <c r="A25" s="1"/>
      <c r="B25" s="150" t="s">
        <v>86</v>
      </c>
      <c r="C25" s="151"/>
      <c r="D25" s="153"/>
      <c r="E25" s="1"/>
      <c r="F25" s="1"/>
    </row>
    <row r="26" spans="1:6" x14ac:dyDescent="0.25">
      <c r="A26" s="1"/>
      <c r="B26" s="86" t="s">
        <v>268</v>
      </c>
      <c r="C26" s="9">
        <v>0</v>
      </c>
      <c r="D26" s="14" t="s">
        <v>3</v>
      </c>
      <c r="E26" s="1"/>
      <c r="F26" s="1"/>
    </row>
    <row r="27" spans="1:6" x14ac:dyDescent="0.25">
      <c r="A27" s="1"/>
      <c r="B27" s="86" t="s">
        <v>269</v>
      </c>
      <c r="C27" s="9">
        <v>0</v>
      </c>
      <c r="D27" s="14" t="s">
        <v>3</v>
      </c>
      <c r="E27" s="1"/>
      <c r="F27" s="1"/>
    </row>
    <row r="28" spans="1:6" x14ac:dyDescent="0.25">
      <c r="A28" s="1"/>
      <c r="B28" s="86" t="s">
        <v>270</v>
      </c>
      <c r="C28" s="9">
        <v>0</v>
      </c>
      <c r="D28" s="14" t="s">
        <v>3</v>
      </c>
      <c r="E28" s="1"/>
      <c r="F28" s="1"/>
    </row>
    <row r="29" spans="1:6" x14ac:dyDescent="0.25">
      <c r="A29" s="1"/>
      <c r="B29" s="28" t="s">
        <v>271</v>
      </c>
      <c r="C29" s="9">
        <v>0</v>
      </c>
      <c r="D29" s="14" t="s">
        <v>3</v>
      </c>
      <c r="E29" s="1"/>
      <c r="F29" s="1"/>
    </row>
    <row r="30" spans="1:6" x14ac:dyDescent="0.25">
      <c r="A30" s="1"/>
      <c r="B30" s="150"/>
      <c r="C30" s="151"/>
      <c r="D30" s="153"/>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VStqsyadR31toCSn9Dz3PvY9UKg4LwM4X/ONN3YtBNNtG5eYtTU7NP5uYDzwkW/Bp/hfLm7neV9PnOGMONaTcQ==" saltValue="DuY8DbEfY6orSDUDXJa27Q=="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topLeftCell="A21" zoomScale="87" zoomScaleNormal="100" zoomScalePageLayoutView="87" workbookViewId="0">
      <selection activeCell="E34" sqref="E34"/>
    </sheetView>
  </sheetViews>
  <sheetFormatPr defaultColWidth="9" defaultRowHeight="15" x14ac:dyDescent="0.25"/>
  <cols>
    <col min="1" max="1" width="3.5703125" style="2" customWidth="1"/>
    <col min="2" max="3" width="9" style="2"/>
    <col min="4" max="4" width="47.7109375" style="2" customWidth="1"/>
    <col min="5" max="5" width="11" style="2" bestFit="1"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213</v>
      </c>
      <c r="C3" s="122"/>
      <c r="D3" s="122"/>
      <c r="E3" s="122"/>
      <c r="F3" s="122"/>
      <c r="G3" s="1"/>
    </row>
    <row r="4" spans="1:7" ht="15" customHeight="1" x14ac:dyDescent="0.25">
      <c r="A4" s="1"/>
      <c r="B4" s="122"/>
      <c r="C4" s="122"/>
      <c r="D4" s="122"/>
      <c r="E4" s="122"/>
      <c r="F4" s="122"/>
      <c r="G4" s="1"/>
    </row>
    <row r="5" spans="1:7" ht="15" customHeight="1" x14ac:dyDescent="0.25">
      <c r="A5" s="1"/>
      <c r="B5" s="84"/>
      <c r="C5" s="84"/>
      <c r="D5" s="84"/>
      <c r="E5" s="84"/>
      <c r="F5" s="84"/>
      <c r="G5" s="1"/>
    </row>
    <row r="6" spans="1:7" ht="15" customHeight="1" x14ac:dyDescent="0.25">
      <c r="A6" s="1"/>
      <c r="B6" s="84"/>
      <c r="C6" s="84"/>
      <c r="D6" s="84"/>
      <c r="E6" s="84"/>
      <c r="F6" s="84"/>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4" t="s">
        <v>184</v>
      </c>
      <c r="C9" s="145"/>
      <c r="D9" s="146"/>
      <c r="E9" s="9">
        <v>45431630.261663586</v>
      </c>
      <c r="F9" s="14" t="s">
        <v>3</v>
      </c>
      <c r="G9" s="1"/>
    </row>
    <row r="10" spans="1:7" x14ac:dyDescent="0.25">
      <c r="A10" s="1"/>
      <c r="B10" s="144" t="s">
        <v>185</v>
      </c>
      <c r="C10" s="145"/>
      <c r="D10" s="146"/>
      <c r="E10" s="9">
        <v>12101051</v>
      </c>
      <c r="F10" s="14" t="s">
        <v>3</v>
      </c>
      <c r="G10" s="1"/>
    </row>
    <row r="11" spans="1:7" x14ac:dyDescent="0.25">
      <c r="A11" s="1"/>
      <c r="B11" s="144" t="s">
        <v>214</v>
      </c>
      <c r="C11" s="145"/>
      <c r="D11" s="146"/>
      <c r="E11" s="9">
        <v>-12119204.697945505</v>
      </c>
      <c r="F11" s="14" t="s">
        <v>3</v>
      </c>
      <c r="G11" s="1"/>
    </row>
    <row r="12" spans="1:7" x14ac:dyDescent="0.25">
      <c r="A12" s="1"/>
      <c r="B12" s="144" t="s">
        <v>272</v>
      </c>
      <c r="C12" s="145"/>
      <c r="D12" s="146"/>
      <c r="E12" s="9">
        <v>45413476.563718081</v>
      </c>
      <c r="F12" s="14" t="s">
        <v>3</v>
      </c>
      <c r="G12" s="1"/>
    </row>
    <row r="13" spans="1:7" x14ac:dyDescent="0.25">
      <c r="A13" s="1"/>
      <c r="B13" s="32"/>
      <c r="C13" s="33"/>
      <c r="D13" s="33"/>
      <c r="E13" s="33"/>
      <c r="F13" s="20"/>
      <c r="G13" s="1"/>
    </row>
    <row r="14" spans="1:7" ht="82.5" customHeight="1" x14ac:dyDescent="0.25">
      <c r="A14" s="1"/>
      <c r="B14" s="132" t="s">
        <v>273</v>
      </c>
      <c r="C14" s="133"/>
      <c r="D14" s="133"/>
      <c r="E14" s="133"/>
      <c r="F14" s="13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4" t="s">
        <v>274</v>
      </c>
      <c r="C17" s="145"/>
      <c r="D17" s="146"/>
      <c r="E17" s="9">
        <v>0</v>
      </c>
      <c r="F17" s="14" t="s">
        <v>3</v>
      </c>
      <c r="G17" s="1"/>
    </row>
    <row r="18" spans="1:7" x14ac:dyDescent="0.25">
      <c r="A18" s="1"/>
      <c r="B18" s="144" t="s">
        <v>187</v>
      </c>
      <c r="C18" s="145"/>
      <c r="D18" s="146"/>
      <c r="E18" s="9">
        <v>0</v>
      </c>
      <c r="F18" s="14" t="s">
        <v>3</v>
      </c>
      <c r="G18" s="1"/>
    </row>
    <row r="19" spans="1:7" x14ac:dyDescent="0.25">
      <c r="A19" s="1"/>
      <c r="B19" s="32"/>
      <c r="C19" s="33"/>
      <c r="D19" s="33"/>
      <c r="E19" s="33"/>
      <c r="F19" s="20"/>
      <c r="G19" s="1"/>
    </row>
    <row r="20" spans="1:7" ht="31.5" customHeight="1" x14ac:dyDescent="0.25">
      <c r="A20" s="1"/>
      <c r="B20" s="132" t="s">
        <v>188</v>
      </c>
      <c r="C20" s="133"/>
      <c r="D20" s="133"/>
      <c r="E20" s="133"/>
      <c r="F20" s="134"/>
      <c r="G20" s="1"/>
    </row>
    <row r="21" spans="1:7" ht="26.25" customHeight="1" x14ac:dyDescent="0.25">
      <c r="A21" s="1"/>
      <c r="B21" s="1"/>
      <c r="C21" s="1"/>
      <c r="D21" s="1"/>
      <c r="E21" s="1"/>
      <c r="F21" s="1"/>
      <c r="G21" s="1"/>
    </row>
    <row r="22" spans="1:7" ht="28.5" customHeight="1" x14ac:dyDescent="0.25">
      <c r="A22" s="1"/>
      <c r="B22" s="90" t="s">
        <v>215</v>
      </c>
      <c r="C22" s="91"/>
      <c r="D22" s="91"/>
      <c r="E22" s="91"/>
      <c r="F22" s="92"/>
      <c r="G22" s="1"/>
    </row>
    <row r="23" spans="1:7" x14ac:dyDescent="0.25">
      <c r="A23" s="1"/>
      <c r="B23" s="87" t="s">
        <v>216</v>
      </c>
      <c r="C23" s="88"/>
      <c r="D23" s="89"/>
      <c r="E23" s="9">
        <v>115979210.28550966</v>
      </c>
      <c r="F23" s="14" t="s">
        <v>3</v>
      </c>
      <c r="G23" s="1"/>
    </row>
    <row r="24" spans="1:7" x14ac:dyDescent="0.25">
      <c r="A24" s="1"/>
      <c r="B24" s="87" t="s">
        <v>217</v>
      </c>
      <c r="C24" s="88"/>
      <c r="D24" s="89"/>
      <c r="E24" s="9">
        <v>107364655</v>
      </c>
      <c r="F24" s="14" t="s">
        <v>3</v>
      </c>
      <c r="G24" s="1"/>
    </row>
    <row r="25" spans="1:7" x14ac:dyDescent="0.25">
      <c r="A25" s="1"/>
      <c r="B25" s="87" t="s">
        <v>33</v>
      </c>
      <c r="C25" s="88"/>
      <c r="D25" s="89"/>
      <c r="E25" s="9">
        <v>0</v>
      </c>
      <c r="F25" s="14" t="s">
        <v>3</v>
      </c>
      <c r="G25" s="1"/>
    </row>
    <row r="26" spans="1:7" x14ac:dyDescent="0.25">
      <c r="A26" s="1"/>
      <c r="B26" s="80" t="s">
        <v>218</v>
      </c>
      <c r="C26" s="81"/>
      <c r="D26" s="82"/>
      <c r="E26" s="62">
        <f>E23-(E24-E25)</f>
        <v>8614555.2855096608</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275</v>
      </c>
      <c r="C29" s="151"/>
      <c r="D29" s="151"/>
      <c r="E29" s="151"/>
      <c r="F29" s="153"/>
      <c r="G29" s="1"/>
    </row>
    <row r="30" spans="1:7" x14ac:dyDescent="0.25">
      <c r="A30" s="1"/>
      <c r="B30" s="141" t="s">
        <v>276</v>
      </c>
      <c r="C30" s="142"/>
      <c r="D30" s="143"/>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0</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277</v>
      </c>
      <c r="C33" s="151"/>
      <c r="D33" s="151"/>
      <c r="E33" s="151"/>
      <c r="F33" s="153"/>
      <c r="G33" s="1"/>
    </row>
    <row r="34" spans="1:7" x14ac:dyDescent="0.25">
      <c r="A34" s="1"/>
      <c r="B34" s="164" t="s">
        <v>131</v>
      </c>
      <c r="C34" s="165"/>
      <c r="D34" s="166"/>
      <c r="E34" s="9">
        <f>IF(AND(SUM(E9:E11)&gt;0,SUM(E9:E11,E26)&gt;0),0,IF(AND(SUM(E9:E11)&gt;0,SUM(E9:E11,E26)&lt;0),SUM(E9:E11,E26),IF(AND(SUM(E9:E11)&lt;0,E26&lt;0),E26,0)))</f>
        <v>0</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0</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A39" s="1"/>
      <c r="B39" s="1"/>
      <c r="C39" s="1"/>
      <c r="D39" s="1"/>
      <c r="E39" s="1"/>
      <c r="F39" s="1"/>
      <c r="G39" s="1"/>
    </row>
    <row r="40" spans="1:7" x14ac:dyDescent="0.25">
      <c r="A40" s="43"/>
      <c r="B40" s="43"/>
      <c r="C40" s="43"/>
      <c r="D40" s="43"/>
      <c r="E40" s="43"/>
      <c r="F40" s="43"/>
      <c r="G40" s="43"/>
    </row>
    <row r="41" spans="1:7" x14ac:dyDescent="0.25">
      <c r="A41" s="43"/>
      <c r="B41" s="43"/>
      <c r="C41" s="43"/>
      <c r="D41" s="43"/>
      <c r="E41" s="43"/>
      <c r="F41" s="43"/>
      <c r="G41" s="43"/>
    </row>
    <row r="42" spans="1:7" x14ac:dyDescent="0.25">
      <c r="A42" s="43"/>
      <c r="B42" s="43"/>
      <c r="C42" s="43"/>
      <c r="D42" s="43"/>
      <c r="E42" s="43"/>
      <c r="F42" s="43"/>
      <c r="G42" s="43"/>
    </row>
    <row r="43" spans="1:7" x14ac:dyDescent="0.25">
      <c r="B43" s="43"/>
      <c r="C43" s="43"/>
      <c r="D43" s="43"/>
      <c r="E43" s="43"/>
      <c r="F43" s="43"/>
    </row>
    <row r="44" spans="1:7" x14ac:dyDescent="0.25">
      <c r="A44" s="43"/>
      <c r="B44" s="43"/>
      <c r="C44" s="43"/>
      <c r="D44" s="43"/>
      <c r="E44" s="43"/>
      <c r="F44" s="43"/>
      <c r="G44" s="43"/>
    </row>
  </sheetData>
  <sheetProtection algorithmName="SHA-512" hashValue="KOQORXDJTylWazkxq2hwBC51weKiGdVAMNiVw1eRzy7hnwKRiwh8Hf0NRb7YmDGjpwk9pcqZZaMQDuNt2gm3rg==" saltValue="72I2B6Qz9ZoHaRHQpv6XcQ==" spinCount="100000" sheet="1" objects="1" scenarios="1"/>
  <mergeCells count="19">
    <mergeCell ref="B12:D12"/>
    <mergeCell ref="B3:F4"/>
    <mergeCell ref="B8:F8"/>
    <mergeCell ref="B9:D9"/>
    <mergeCell ref="B10:D10"/>
    <mergeCell ref="B11:D11"/>
    <mergeCell ref="B34:D34"/>
    <mergeCell ref="B35:D35"/>
    <mergeCell ref="B36:D36"/>
    <mergeCell ref="B37:F37"/>
    <mergeCell ref="B14:F14"/>
    <mergeCell ref="B16:F16"/>
    <mergeCell ref="B18:D18"/>
    <mergeCell ref="B20:F20"/>
    <mergeCell ref="B31:F31"/>
    <mergeCell ref="B33:F33"/>
    <mergeCell ref="B17:D17"/>
    <mergeCell ref="B29:F29"/>
    <mergeCell ref="B30:D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4"/>
  <sheetViews>
    <sheetView view="pageLayout" topLeftCell="A29"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253</v>
      </c>
      <c r="C8" s="151"/>
      <c r="D8" s="151"/>
      <c r="E8" s="151"/>
      <c r="F8" s="151"/>
      <c r="G8" s="151"/>
      <c r="H8" s="153"/>
      <c r="I8" s="1"/>
    </row>
    <row r="9" spans="1:9" ht="15" customHeight="1" x14ac:dyDescent="0.25">
      <c r="A9" s="1"/>
      <c r="B9" s="135" t="s">
        <v>254</v>
      </c>
      <c r="C9" s="136"/>
      <c r="D9" s="136"/>
      <c r="E9" s="136"/>
      <c r="F9" s="136"/>
      <c r="G9" s="136"/>
      <c r="H9" s="137"/>
      <c r="I9" s="1"/>
    </row>
    <row r="10" spans="1:9" x14ac:dyDescent="0.25">
      <c r="A10" s="1"/>
      <c r="B10" s="171" t="s">
        <v>284</v>
      </c>
      <c r="C10" s="172"/>
      <c r="D10" s="172"/>
      <c r="E10" s="172"/>
      <c r="F10" s="173"/>
      <c r="G10" s="44">
        <v>0</v>
      </c>
      <c r="H10" s="9" t="s">
        <v>3</v>
      </c>
      <c r="I10" s="1"/>
    </row>
    <row r="11" spans="1:9" x14ac:dyDescent="0.25">
      <c r="A11" s="1"/>
      <c r="B11" s="171" t="s">
        <v>285</v>
      </c>
      <c r="C11" s="172"/>
      <c r="D11" s="172"/>
      <c r="E11" s="172"/>
      <c r="F11" s="173"/>
      <c r="G11" s="44">
        <v>0</v>
      </c>
      <c r="H11" s="9" t="s">
        <v>3</v>
      </c>
      <c r="I11" s="1"/>
    </row>
    <row r="12" spans="1:9" x14ac:dyDescent="0.25">
      <c r="A12" s="1"/>
      <c r="B12" s="171" t="s">
        <v>286</v>
      </c>
      <c r="C12" s="172"/>
      <c r="D12" s="172"/>
      <c r="E12" s="172"/>
      <c r="F12" s="173"/>
      <c r="G12" s="9">
        <v>0</v>
      </c>
      <c r="H12" s="9" t="s">
        <v>3</v>
      </c>
      <c r="I12" s="1"/>
    </row>
    <row r="13" spans="1:9" x14ac:dyDescent="0.25">
      <c r="A13" s="1"/>
      <c r="B13" s="171" t="s">
        <v>287</v>
      </c>
      <c r="C13" s="172"/>
      <c r="D13" s="172"/>
      <c r="E13" s="172"/>
      <c r="F13" s="173"/>
      <c r="G13" s="9">
        <v>0</v>
      </c>
      <c r="H13" s="9" t="s">
        <v>3</v>
      </c>
      <c r="I13" s="1"/>
    </row>
    <row r="14" spans="1:9" x14ac:dyDescent="0.25">
      <c r="A14" s="1"/>
      <c r="B14" s="171" t="s">
        <v>288</v>
      </c>
      <c r="C14" s="172"/>
      <c r="D14" s="172"/>
      <c r="E14" s="172"/>
      <c r="F14" s="173"/>
      <c r="G14" s="9">
        <v>0</v>
      </c>
      <c r="H14" s="9" t="s">
        <v>3</v>
      </c>
      <c r="I14" s="1"/>
    </row>
    <row r="15" spans="1:9" x14ac:dyDescent="0.25">
      <c r="A15" s="1"/>
      <c r="B15" s="171" t="s">
        <v>289</v>
      </c>
      <c r="C15" s="172"/>
      <c r="D15" s="172"/>
      <c r="E15" s="172"/>
      <c r="F15" s="173"/>
      <c r="G15" s="9">
        <v>0</v>
      </c>
      <c r="H15" s="9" t="s">
        <v>3</v>
      </c>
      <c r="I15" s="1"/>
    </row>
    <row r="16" spans="1:9" x14ac:dyDescent="0.25">
      <c r="A16" s="1"/>
      <c r="B16" s="171" t="s">
        <v>290</v>
      </c>
      <c r="C16" s="172"/>
      <c r="D16" s="172"/>
      <c r="E16" s="172"/>
      <c r="F16" s="173"/>
      <c r="G16" s="9">
        <v>0</v>
      </c>
      <c r="H16" s="9" t="s">
        <v>3</v>
      </c>
      <c r="I16" s="1"/>
    </row>
    <row r="17" spans="1:9" x14ac:dyDescent="0.25">
      <c r="A17" s="1"/>
      <c r="B17" s="171" t="s">
        <v>291</v>
      </c>
      <c r="C17" s="172"/>
      <c r="D17" s="172"/>
      <c r="E17" s="172"/>
      <c r="F17" s="173"/>
      <c r="G17" s="9">
        <v>0</v>
      </c>
      <c r="H17" s="9" t="s">
        <v>3</v>
      </c>
      <c r="I17" s="1"/>
    </row>
    <row r="18" spans="1:9" x14ac:dyDescent="0.25">
      <c r="A18" s="1"/>
      <c r="B18" s="150" t="s">
        <v>255</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eEcT5Q+g0UWqPSuBepgQJq4BJSu1GX0VRed9V3LG26AhkmT9hEvMIsPyqwilejTXVgMTnW2cSxjIkyOP/u+Iww==" saltValue="hDvBgcs0m5TJ7LSYstj9gg=="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topLeftCell="A5"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2" t="s">
        <v>256</v>
      </c>
      <c r="C3" s="122"/>
      <c r="D3" s="122"/>
      <c r="E3" s="122"/>
      <c r="F3" s="122"/>
      <c r="G3" s="1"/>
    </row>
    <row r="4" spans="1:7" ht="1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219</v>
      </c>
      <c r="C9" s="174"/>
      <c r="D9" s="174"/>
      <c r="E9" s="174"/>
      <c r="F9" s="174"/>
      <c r="G9" s="1"/>
    </row>
    <row r="10" spans="1:7" x14ac:dyDescent="0.25">
      <c r="A10" s="1"/>
      <c r="B10" s="132" t="s">
        <v>87</v>
      </c>
      <c r="C10" s="133"/>
      <c r="D10" s="134"/>
      <c r="E10" s="7">
        <v>0</v>
      </c>
      <c r="F10" s="8" t="s">
        <v>3</v>
      </c>
      <c r="G10" s="1"/>
    </row>
    <row r="11" spans="1:7" x14ac:dyDescent="0.25">
      <c r="A11" s="1"/>
      <c r="B11" s="144" t="s">
        <v>220</v>
      </c>
      <c r="C11" s="145"/>
      <c r="D11" s="146"/>
      <c r="E11" s="7">
        <v>0</v>
      </c>
      <c r="F11" s="8" t="s">
        <v>3</v>
      </c>
      <c r="G11" s="1"/>
    </row>
    <row r="12" spans="1:7" x14ac:dyDescent="0.25">
      <c r="A12" s="1"/>
      <c r="B12" s="141" t="s">
        <v>88</v>
      </c>
      <c r="C12" s="142"/>
      <c r="D12" s="143"/>
      <c r="E12" s="10">
        <f>E11-E10</f>
        <v>0</v>
      </c>
      <c r="F12" s="11" t="s">
        <v>3</v>
      </c>
      <c r="G12" s="1"/>
    </row>
    <row r="13" spans="1:7" x14ac:dyDescent="0.25">
      <c r="A13" s="1"/>
      <c r="B13" s="174" t="s">
        <v>82</v>
      </c>
      <c r="C13" s="174"/>
      <c r="D13" s="174"/>
      <c r="E13" s="174"/>
      <c r="F13" s="174"/>
      <c r="G13" s="1"/>
    </row>
    <row r="14" spans="1:7" x14ac:dyDescent="0.25">
      <c r="A14" s="1"/>
      <c r="B14" s="144" t="s">
        <v>221</v>
      </c>
      <c r="C14" s="145"/>
      <c r="D14" s="146"/>
      <c r="E14" s="9">
        <v>40000</v>
      </c>
      <c r="F14" s="8" t="s">
        <v>3</v>
      </c>
      <c r="G14" s="1"/>
    </row>
    <row r="15" spans="1:7" x14ac:dyDescent="0.25">
      <c r="A15" s="1"/>
      <c r="B15" s="132" t="s">
        <v>222</v>
      </c>
      <c r="C15" s="133"/>
      <c r="D15" s="134"/>
      <c r="E15" s="9">
        <v>40000</v>
      </c>
      <c r="F15" s="8" t="s">
        <v>3</v>
      </c>
      <c r="G15" s="1"/>
    </row>
    <row r="16" spans="1:7" x14ac:dyDescent="0.25">
      <c r="A16" s="1"/>
      <c r="B16" s="141" t="s">
        <v>88</v>
      </c>
      <c r="C16" s="142"/>
      <c r="D16" s="143"/>
      <c r="E16" s="10">
        <f>E15-E14</f>
        <v>0</v>
      </c>
      <c r="F16" s="11" t="s">
        <v>3</v>
      </c>
      <c r="G16" s="1"/>
    </row>
    <row r="17" spans="1:7" ht="15" customHeight="1" x14ac:dyDescent="0.25">
      <c r="A17" s="1"/>
      <c r="B17" s="32" t="s">
        <v>223</v>
      </c>
      <c r="C17" s="33"/>
      <c r="D17" s="33"/>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2vJYlbuyzj47mb6ouMlyL/v3F/Mh1akijxNotHAfrN+yxP96g+L8uVlzrIfkYZE151ZtzbBfe6pdCohkpFJog==" saltValue="ApNfCaEl9SFk82YLwsNl9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election activeCell="D19" sqref="D19"/>
    </sheetView>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230</v>
      </c>
      <c r="C8" s="151"/>
      <c r="D8" s="151"/>
      <c r="E8" s="151"/>
      <c r="F8" s="151"/>
      <c r="G8" s="151"/>
      <c r="H8" s="151"/>
      <c r="I8" s="151"/>
      <c r="J8" s="151"/>
      <c r="K8" s="153"/>
      <c r="L8" s="1"/>
    </row>
    <row r="9" spans="1:12" ht="39.75" customHeight="1" x14ac:dyDescent="0.25">
      <c r="A9" s="1"/>
      <c r="B9" s="19" t="s">
        <v>0</v>
      </c>
      <c r="C9" s="19" t="s">
        <v>1</v>
      </c>
      <c r="D9" s="175" t="s">
        <v>248</v>
      </c>
      <c r="E9" s="176"/>
      <c r="F9" s="175" t="s">
        <v>2</v>
      </c>
      <c r="G9" s="176"/>
      <c r="H9" s="175" t="s">
        <v>250</v>
      </c>
      <c r="I9" s="176"/>
      <c r="J9" s="175" t="s">
        <v>30</v>
      </c>
      <c r="K9" s="176"/>
      <c r="L9" s="1"/>
    </row>
    <row r="10" spans="1:12" x14ac:dyDescent="0.25">
      <c r="A10" s="1"/>
      <c r="B10" s="94" t="s">
        <v>292</v>
      </c>
      <c r="C10" s="38">
        <v>0</v>
      </c>
      <c r="D10" s="9">
        <v>0</v>
      </c>
      <c r="E10" s="14" t="s">
        <v>3</v>
      </c>
      <c r="F10" s="9">
        <f>IFERROR(D10/C10,0)</f>
        <v>0</v>
      </c>
      <c r="G10" s="14" t="s">
        <v>3</v>
      </c>
      <c r="H10" s="9">
        <v>0</v>
      </c>
      <c r="I10" s="14" t="s">
        <v>3</v>
      </c>
      <c r="J10" s="9">
        <v>0</v>
      </c>
      <c r="K10" s="14" t="s">
        <v>3</v>
      </c>
      <c r="L10" s="1"/>
    </row>
    <row r="11" spans="1:12" x14ac:dyDescent="0.25">
      <c r="A11" s="1"/>
      <c r="B11" s="150" t="s">
        <v>231</v>
      </c>
      <c r="C11" s="151"/>
      <c r="D11" s="151"/>
      <c r="E11" s="153"/>
      <c r="F11" s="12">
        <f>SUM(F10:F10)</f>
        <v>0</v>
      </c>
      <c r="G11" s="92" t="s">
        <v>249</v>
      </c>
      <c r="H11" s="12">
        <f>SUM(H10:H10)</f>
        <v>0</v>
      </c>
      <c r="I11" s="92"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bb6EX1+0+MjWV3E1/LKP/1Ce0sjAVXUhIVRNMQ8jEL58MExxxqUP2vxiFnIuLYIGvsf8wVLTSPCmcmGuGc+TqA==" saltValue="Goj8ob3WKHbwRuh9MRNBe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topLeftCell="A9" zoomScaleNormal="100" workbookViewId="0">
      <selection activeCell="B22" sqref="B22"/>
    </sheetView>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77" t="s">
        <v>17</v>
      </c>
      <c r="C9" s="77" t="s">
        <v>11</v>
      </c>
      <c r="D9" s="78"/>
      <c r="E9" s="77" t="s">
        <v>31</v>
      </c>
      <c r="F9" s="97"/>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39" t="s">
        <v>281</v>
      </c>
      <c r="C11" s="22">
        <v>62439</v>
      </c>
      <c r="D11" s="14" t="s">
        <v>3</v>
      </c>
      <c r="E11" s="9">
        <v>861657</v>
      </c>
      <c r="F11" s="14" t="s">
        <v>3</v>
      </c>
      <c r="G11" s="1"/>
    </row>
    <row r="12" spans="1:7" x14ac:dyDescent="0.25">
      <c r="A12" s="1"/>
      <c r="B12" s="25" t="s">
        <v>282</v>
      </c>
      <c r="C12" s="22">
        <v>384313</v>
      </c>
      <c r="D12" s="14" t="s">
        <v>3</v>
      </c>
      <c r="E12" s="9">
        <v>0</v>
      </c>
      <c r="F12" s="14" t="s">
        <v>3</v>
      </c>
      <c r="G12" s="1"/>
    </row>
    <row r="13" spans="1:7" x14ac:dyDescent="0.25">
      <c r="A13" s="1"/>
      <c r="B13" s="32" t="s">
        <v>144</v>
      </c>
      <c r="C13" s="12">
        <f>SUM(C10:C12)</f>
        <v>446752</v>
      </c>
      <c r="D13" s="13" t="s">
        <v>3</v>
      </c>
      <c r="E13" s="12">
        <f>SUM(E10:E12)</f>
        <v>861657</v>
      </c>
      <c r="F13" s="13" t="s">
        <v>3</v>
      </c>
      <c r="G13" s="1"/>
    </row>
    <row r="14" spans="1:7" x14ac:dyDescent="0.25">
      <c r="A14" s="1"/>
      <c r="B14" s="32" t="s">
        <v>224</v>
      </c>
      <c r="C14" s="12">
        <f>C13*(1+'Fane 15. Nøgletal'!C15)</f>
        <v>462656.37120000005</v>
      </c>
      <c r="D14" s="13" t="s">
        <v>3</v>
      </c>
      <c r="E14" s="12">
        <f>E13*(1+'Fane 15. Nøgletal'!C15)</f>
        <v>892331.98920000007</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HTdqeEoUHliob3kuXcx4Z//3+vMVE27MUEVUdtZCVC0zqYqulUf09fgC/Vl4wPqmCBXNjLr0YPwr07kLTgCqg==" saltValue="A9VKyk1blXyzxu55nsSWx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election activeCell="E23" sqref="E23"/>
    </sheetView>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90" t="s">
        <v>85</v>
      </c>
      <c r="C7" s="91"/>
      <c r="D7" s="91"/>
      <c r="E7" s="91"/>
      <c r="F7" s="92"/>
      <c r="G7" s="1"/>
    </row>
    <row r="8" spans="1:7" x14ac:dyDescent="0.25">
      <c r="A8" s="1"/>
      <c r="B8" s="77" t="s">
        <v>17</v>
      </c>
      <c r="C8" s="77" t="s">
        <v>11</v>
      </c>
      <c r="D8" s="78"/>
      <c r="E8" s="77" t="s">
        <v>31</v>
      </c>
      <c r="F8" s="97"/>
      <c r="G8" s="1"/>
    </row>
    <row r="9" spans="1:7" x14ac:dyDescent="0.25">
      <c r="A9" s="1"/>
      <c r="B9" s="25" t="s">
        <v>293</v>
      </c>
      <c r="C9" s="22">
        <v>0</v>
      </c>
      <c r="D9" s="14" t="s">
        <v>3</v>
      </c>
      <c r="E9" s="22">
        <v>0</v>
      </c>
      <c r="F9" s="14" t="s">
        <v>3</v>
      </c>
      <c r="G9" s="1"/>
    </row>
    <row r="10" spans="1:7" x14ac:dyDescent="0.25">
      <c r="A10" s="1"/>
      <c r="B10" s="32" t="s">
        <v>233</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95"/>
      <c r="C13" s="95"/>
      <c r="D13" s="95"/>
      <c r="E13" s="95"/>
      <c r="F13" s="95"/>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eENEV+q93Q1QEF8SyElLOm5qZpKbf7x5n4hvCowPgya4q6p36bEktBQnCN8XjWtrvlR48eTWxnfiwkkPkd5OA==" saltValue="idKyPqjSqxPhWXwxgMEIlA=="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260</v>
      </c>
      <c r="C3" s="122"/>
      <c r="D3" s="122"/>
      <c r="E3" s="122"/>
      <c r="F3" s="122"/>
      <c r="G3" s="1"/>
    </row>
    <row r="4" spans="1:7" ht="15" customHeight="1" x14ac:dyDescent="0.25">
      <c r="A4" s="1"/>
      <c r="B4" s="122"/>
      <c r="C4" s="122"/>
      <c r="D4" s="122"/>
      <c r="E4" s="122"/>
      <c r="F4" s="122"/>
      <c r="G4" s="1"/>
    </row>
    <row r="5" spans="1:7" x14ac:dyDescent="0.25">
      <c r="A5" s="1"/>
      <c r="B5" s="122"/>
      <c r="C5" s="122"/>
      <c r="D5" s="122"/>
      <c r="E5" s="122"/>
      <c r="F5" s="12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240</v>
      </c>
      <c r="C10" s="172"/>
      <c r="D10" s="173"/>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25</v>
      </c>
      <c r="C12" s="130"/>
      <c r="D12" s="131"/>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240</v>
      </c>
      <c r="C16" s="172"/>
      <c r="D16" s="173"/>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25</v>
      </c>
      <c r="C18" s="130"/>
      <c r="D18" s="131"/>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240</v>
      </c>
      <c r="C22" s="172"/>
      <c r="D22" s="173"/>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25</v>
      </c>
      <c r="C24" s="130"/>
      <c r="D24" s="131"/>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225</v>
      </c>
      <c r="C27" s="151"/>
      <c r="D27" s="151"/>
      <c r="E27" s="151"/>
      <c r="F27" s="153"/>
      <c r="G27" s="1"/>
    </row>
    <row r="28" spans="1:7" x14ac:dyDescent="0.25">
      <c r="A28" s="1"/>
      <c r="B28" s="171" t="s">
        <v>240</v>
      </c>
      <c r="C28" s="172"/>
      <c r="D28" s="173"/>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25</v>
      </c>
      <c r="C30" s="130"/>
      <c r="D30" s="131"/>
      <c r="E30" s="9">
        <f>-E28*'Fane 15. Nøgletal'!C31</f>
        <v>0</v>
      </c>
      <c r="F30" s="14" t="s">
        <v>3</v>
      </c>
      <c r="G30" s="1"/>
    </row>
    <row r="31" spans="1:7" x14ac:dyDescent="0.25">
      <c r="A31" s="1"/>
      <c r="B31" s="150" t="s">
        <v>226</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3"/>
      <c r="B45" s="43"/>
      <c r="C45" s="43"/>
      <c r="D45" s="43"/>
      <c r="E45" s="43"/>
      <c r="F45" s="43"/>
      <c r="G45" s="43"/>
    </row>
    <row r="46" spans="1:7" x14ac:dyDescent="0.25">
      <c r="A46" s="43"/>
      <c r="B46" s="43"/>
      <c r="C46" s="43"/>
      <c r="D46" s="43"/>
      <c r="E46" s="43"/>
      <c r="F46" s="43"/>
      <c r="G46" s="43"/>
    </row>
    <row r="47" spans="1:7" x14ac:dyDescent="0.25">
      <c r="A47" s="43"/>
      <c r="B47" s="43"/>
      <c r="C47" s="43"/>
      <c r="D47" s="43"/>
      <c r="E47" s="43"/>
      <c r="F47" s="43"/>
      <c r="G47" s="43"/>
    </row>
    <row r="48" spans="1:7" x14ac:dyDescent="0.25">
      <c r="A48" s="43"/>
      <c r="B48" s="43"/>
      <c r="C48" s="43"/>
      <c r="D48" s="43"/>
      <c r="E48" s="43"/>
      <c r="F48" s="43"/>
      <c r="G48" s="43"/>
    </row>
    <row r="49" spans="1:7" x14ac:dyDescent="0.25">
      <c r="A49" s="43"/>
      <c r="B49" s="43"/>
      <c r="C49" s="43"/>
      <c r="D49" s="43"/>
      <c r="E49" s="43"/>
      <c r="F49" s="43"/>
      <c r="G49" s="43"/>
    </row>
    <row r="50" spans="1:7" x14ac:dyDescent="0.25">
      <c r="A50" s="43"/>
      <c r="B50" s="43"/>
      <c r="C50" s="43"/>
      <c r="D50" s="43"/>
      <c r="E50" s="43"/>
      <c r="F50" s="43"/>
      <c r="G50" s="43"/>
    </row>
  </sheetData>
  <sheetProtection algorithmName="SHA-512" hashValue="gdLQrDsf8UBtQ3p/CXwDz6oU7gIGYjZvBuPAnjLVcjQNka0DV8MpSXh+Kk9Klu8c7OdlFJAJFO1NKFCMC9OpCg==" saltValue="umMWubGKMxwB6BchY366OQ=="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261</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6" t="s">
        <v>120</v>
      </c>
      <c r="C9" s="135" t="s">
        <v>11</v>
      </c>
      <c r="D9" s="137"/>
      <c r="E9" s="178" t="s">
        <v>31</v>
      </c>
      <c r="F9" s="179"/>
      <c r="G9" s="1"/>
    </row>
    <row r="10" spans="1:7" x14ac:dyDescent="0.25">
      <c r="A10" s="1"/>
      <c r="B10" s="25" t="s">
        <v>283</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9WyIcI7vClgZ76JT4ZnFILbff89+XbBYiOFMzuqIKv3RlDJp2kL0H2jiUDUSMNkJrnSCpVTxH63YaI4ETQk88Q==" saltValue="dHDDZ8ILsl/Z2YVifymyj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262</v>
      </c>
      <c r="C3" s="122"/>
      <c r="D3" s="122"/>
      <c r="E3" s="122"/>
      <c r="F3" s="122"/>
      <c r="G3" s="1"/>
    </row>
    <row r="4" spans="1:7" ht="25.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6" t="s">
        <v>18</v>
      </c>
      <c r="C10" s="96" t="s">
        <v>11</v>
      </c>
      <c r="D10" s="97"/>
      <c r="E10" s="96" t="s">
        <v>31</v>
      </c>
      <c r="F10" s="97"/>
      <c r="G10" s="1"/>
    </row>
    <row r="11" spans="1:7" x14ac:dyDescent="0.25">
      <c r="A11" s="1"/>
      <c r="B11" s="25" t="s">
        <v>182</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tp9zGpo403zJSsD9edGaruN6BIIKHoTNe9VpVKgbUYBVhQCRmTL6Hws/YvJm1fbMWXHg1NKYHAfwQWZx8omQug==" saltValue="m5dMEs1PUkXusTRsrJtzw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1"/>
  <sheetViews>
    <sheetView showGridLines="0" view="pageLayout" zoomScale="89" zoomScaleNormal="100" zoomScalePageLayoutView="89" workbookViewId="0">
      <selection activeCell="B47" sqref="B47"/>
    </sheetView>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85" t="s">
        <v>93</v>
      </c>
      <c r="C9" s="7">
        <f>'Fane 3. Omkostninger i ØR2022'!E20</f>
        <v>109364631.55876781</v>
      </c>
      <c r="D9" s="8" t="s">
        <v>3</v>
      </c>
      <c r="E9" s="1"/>
    </row>
    <row r="10" spans="1:5" x14ac:dyDescent="0.25">
      <c r="A10" s="1"/>
      <c r="B10" s="79" t="s">
        <v>236</v>
      </c>
      <c r="C10" s="7">
        <f>('Fane 3. Omkostninger i ØR2022'!E10+'Fane 3. Omkostninger i ØR2022'!E14)*(1+'Fane 15. Nøgletal'!C14)*(1-'Fane 15. Nøgletal'!C31-'Fane 5. Individuelt eff. krav'!G9)</f>
        <v>0</v>
      </c>
      <c r="D10" s="8" t="s">
        <v>3</v>
      </c>
      <c r="E10" s="1"/>
    </row>
    <row r="11" spans="1:5" x14ac:dyDescent="0.25">
      <c r="A11" s="1"/>
      <c r="B11" s="79" t="s">
        <v>237</v>
      </c>
      <c r="C11" s="7">
        <f>('Fane 3. Omkostninger i ØR2022'!E11+'Fane 3. Omkostninger i ØR2022'!E15)*(1+'Fane 15. Nøgletal'!C14)*(1-'Fane 15. Nøgletal'!C25-'Fane 5. Individuelt eff. krav'!G9)</f>
        <v>0</v>
      </c>
      <c r="D11" s="8" t="s">
        <v>3</v>
      </c>
      <c r="E11" s="1"/>
    </row>
    <row r="12" spans="1:5" ht="17.25" customHeight="1" x14ac:dyDescent="0.25">
      <c r="A12" s="1"/>
      <c r="B12" s="83" t="s">
        <v>39</v>
      </c>
      <c r="C12" s="40">
        <f>'Fane 11.1. Varige tillæg'!C14</f>
        <v>462656.37120000005</v>
      </c>
      <c r="D12" s="8" t="s">
        <v>3</v>
      </c>
      <c r="E12" s="1"/>
    </row>
    <row r="13" spans="1:5" ht="17.25" customHeight="1" x14ac:dyDescent="0.25">
      <c r="A13" s="1"/>
      <c r="B13" s="83" t="s">
        <v>40</v>
      </c>
      <c r="C13" s="40">
        <f>'Fane 11.1. Varige tillæg'!E14</f>
        <v>892331.98920000007</v>
      </c>
      <c r="D13" s="8" t="s">
        <v>3</v>
      </c>
      <c r="E13" s="1"/>
    </row>
    <row r="14" spans="1:5" ht="17.25" customHeight="1" x14ac:dyDescent="0.25">
      <c r="A14" s="1"/>
      <c r="B14" s="83" t="s">
        <v>28</v>
      </c>
      <c r="C14" s="9">
        <f>-'Fane 14. Bortfald'!C13</f>
        <v>0</v>
      </c>
      <c r="D14" s="8" t="s">
        <v>3</v>
      </c>
      <c r="E14" s="1"/>
    </row>
    <row r="15" spans="1:5" ht="17.25" customHeight="1" x14ac:dyDescent="0.25">
      <c r="A15" s="1"/>
      <c r="B15" s="83" t="s">
        <v>27</v>
      </c>
      <c r="C15" s="9">
        <f>-'Fane 14. Bortfald'!E13</f>
        <v>0</v>
      </c>
      <c r="D15" s="8" t="s">
        <v>3</v>
      </c>
      <c r="E15" s="1"/>
    </row>
    <row r="16" spans="1:5" ht="17.25" customHeight="1" x14ac:dyDescent="0.25">
      <c r="A16" s="1"/>
      <c r="B16" s="83" t="s">
        <v>113</v>
      </c>
      <c r="C16" s="9">
        <f>'Fane 13. Tilknyttet virksomhed'!C12</f>
        <v>0</v>
      </c>
      <c r="D16" s="8" t="s">
        <v>3</v>
      </c>
      <c r="E16" s="1"/>
    </row>
    <row r="17" spans="1:5" ht="17.25" customHeight="1" x14ac:dyDescent="0.25">
      <c r="A17" s="1"/>
      <c r="B17" s="83" t="s">
        <v>114</v>
      </c>
      <c r="C17" s="9">
        <f>'Fane 13. Tilknyttet virksomhed'!E12</f>
        <v>0</v>
      </c>
      <c r="D17" s="8" t="s">
        <v>3</v>
      </c>
      <c r="E17" s="1"/>
    </row>
    <row r="18" spans="1:5" ht="17.25" customHeight="1" x14ac:dyDescent="0.25">
      <c r="A18" s="1"/>
      <c r="B18" s="83" t="s">
        <v>19</v>
      </c>
      <c r="C18" s="9">
        <f>SUM(C9)*'Fane 15. Nøgletal'!C14+SUM(C12:C17)*'Fane 15. Nøgletal'!C15</f>
        <v>409140.86977417383</v>
      </c>
      <c r="D18" s="8" t="s">
        <v>3</v>
      </c>
      <c r="E18" s="1"/>
    </row>
    <row r="19" spans="1:5" ht="17.25" customHeight="1" x14ac:dyDescent="0.25">
      <c r="A19" s="1"/>
      <c r="B19" s="83" t="s">
        <v>10</v>
      </c>
      <c r="C19" s="9">
        <f>-SUM(C9,C12:C18)*'Fane 5. Individuelt eff. krav'!G9</f>
        <v>-1734374.8674690849</v>
      </c>
      <c r="D19" s="8" t="s">
        <v>3</v>
      </c>
      <c r="E19" s="1"/>
    </row>
    <row r="20" spans="1:5" ht="17.25" customHeight="1" x14ac:dyDescent="0.25">
      <c r="A20" s="1"/>
      <c r="B20" s="83" t="s">
        <v>25</v>
      </c>
      <c r="C20" s="9">
        <f>-'Fane 4.1. Gen. krav - drift'!G48</f>
        <v>-649750.42131183145</v>
      </c>
      <c r="D20" s="8" t="s">
        <v>3</v>
      </c>
      <c r="E20" s="42"/>
    </row>
    <row r="21" spans="1:5" ht="15" customHeight="1" x14ac:dyDescent="0.25">
      <c r="A21" s="1"/>
      <c r="B21" s="83" t="s">
        <v>26</v>
      </c>
      <c r="C21" s="9">
        <f>-'Fane 4.2. Gen. krav - anlæg'!G47</f>
        <v>-1195246.6843354963</v>
      </c>
      <c r="D21" s="8" t="s">
        <v>3</v>
      </c>
      <c r="E21" s="1"/>
    </row>
    <row r="22" spans="1:5" ht="15" customHeight="1" x14ac:dyDescent="0.25">
      <c r="A22" s="1"/>
      <c r="B22" s="80" t="s">
        <v>21</v>
      </c>
      <c r="C22" s="10">
        <f>SUM(C9,C12:C21)</f>
        <v>107549388.81582557</v>
      </c>
      <c r="D22" s="11" t="s">
        <v>3</v>
      </c>
      <c r="E22" s="1"/>
    </row>
    <row r="23" spans="1:5" ht="15" customHeight="1" x14ac:dyDescent="0.25">
      <c r="A23" s="1"/>
      <c r="B23" s="32" t="s">
        <v>12</v>
      </c>
      <c r="C23" s="33"/>
      <c r="D23" s="20"/>
      <c r="E23" s="1"/>
    </row>
    <row r="24" spans="1:5" ht="15" customHeight="1" x14ac:dyDescent="0.25">
      <c r="A24" s="1"/>
      <c r="B24" s="96" t="s">
        <v>12</v>
      </c>
      <c r="C24" s="10">
        <f>'Fane 6. Ikke-påvirkelige omk.'!C14+'Fane 6. Ikke-påvirkelige omk.'!C18+'Fane 6. Ikke-påvirkelige omk.'!C26</f>
        <v>2051386.7944633602</v>
      </c>
      <c r="D24" s="11" t="s">
        <v>3</v>
      </c>
      <c r="E24" s="1"/>
    </row>
    <row r="25" spans="1:5" ht="15" customHeight="1" x14ac:dyDescent="0.25">
      <c r="A25" s="1"/>
      <c r="B25" s="32" t="s">
        <v>74</v>
      </c>
      <c r="C25" s="33"/>
      <c r="D25" s="20"/>
      <c r="E25" s="1"/>
    </row>
    <row r="26" spans="1:5" ht="15" customHeight="1" x14ac:dyDescent="0.25">
      <c r="A26" s="1"/>
      <c r="B26" s="80" t="s">
        <v>74</v>
      </c>
      <c r="C26" s="10">
        <f>'Fane 12. Periodevise driftsomk.'!E13</f>
        <v>0</v>
      </c>
      <c r="D26" s="11" t="s">
        <v>3</v>
      </c>
      <c r="E26" s="1"/>
    </row>
    <row r="27" spans="1:5" ht="15" customHeight="1" x14ac:dyDescent="0.25">
      <c r="A27" s="1"/>
      <c r="B27" s="32" t="s">
        <v>73</v>
      </c>
      <c r="C27" s="33"/>
      <c r="D27" s="20"/>
      <c r="E27" s="1"/>
    </row>
    <row r="28" spans="1:5" x14ac:dyDescent="0.25">
      <c r="A28" s="1"/>
      <c r="B28" s="83" t="s">
        <v>69</v>
      </c>
      <c r="C28" s="9">
        <f>'Fane 11.2. Engangstillæg'!C11</f>
        <v>0</v>
      </c>
      <c r="D28" s="8" t="s">
        <v>3</v>
      </c>
      <c r="E28" s="1"/>
    </row>
    <row r="29" spans="1:5" ht="15" customHeight="1" x14ac:dyDescent="0.25">
      <c r="A29" s="1"/>
      <c r="B29" s="83" t="s">
        <v>70</v>
      </c>
      <c r="C29" s="9">
        <f>'Fane 11.2. Engangstillæg'!E11</f>
        <v>0</v>
      </c>
      <c r="D29" s="8" t="s">
        <v>3</v>
      </c>
      <c r="E29" s="1"/>
    </row>
    <row r="30" spans="1:5" ht="15" customHeight="1" x14ac:dyDescent="0.25">
      <c r="A30" s="1"/>
      <c r="B30" s="83" t="s">
        <v>244</v>
      </c>
      <c r="C30" s="9">
        <f>-C28*('Fane 15. Nøgletal'!C31+'Fane 5. Individuelt eff. krav'!G9)</f>
        <v>0</v>
      </c>
      <c r="D30" s="8" t="s">
        <v>3</v>
      </c>
      <c r="E30" s="1"/>
    </row>
    <row r="31" spans="1:5" ht="15" customHeight="1" x14ac:dyDescent="0.25">
      <c r="A31" s="1"/>
      <c r="B31" s="41" t="s">
        <v>245</v>
      </c>
      <c r="C31" s="9">
        <f>-C28*('Fane 15. Nøgletal'!C26+'Fane 5. Individuelt eff. krav'!G9)</f>
        <v>0</v>
      </c>
      <c r="D31" s="8" t="s">
        <v>3</v>
      </c>
      <c r="E31" s="1"/>
    </row>
    <row r="32" spans="1:5" x14ac:dyDescent="0.25">
      <c r="A32" s="1"/>
      <c r="B32" s="80" t="s">
        <v>75</v>
      </c>
      <c r="C32" s="10">
        <f>SUM(C28:C31)</f>
        <v>0</v>
      </c>
      <c r="D32" s="11" t="s">
        <v>3</v>
      </c>
      <c r="E32" s="1"/>
    </row>
    <row r="33" spans="1:5" x14ac:dyDescent="0.25">
      <c r="A33" s="1"/>
      <c r="B33" s="32" t="s">
        <v>194</v>
      </c>
      <c r="C33" s="33"/>
      <c r="D33" s="20"/>
      <c r="E33" s="1"/>
    </row>
    <row r="34" spans="1:5" x14ac:dyDescent="0.25">
      <c r="A34" s="1"/>
      <c r="B34" s="96" t="s">
        <v>194</v>
      </c>
      <c r="C34" s="10">
        <f>'Fane 9. Korrektion af ØR2021'!E17</f>
        <v>0</v>
      </c>
      <c r="D34" s="11" t="s">
        <v>3</v>
      </c>
      <c r="E34" s="1"/>
    </row>
    <row r="35" spans="1:5" x14ac:dyDescent="0.25">
      <c r="A35" s="1"/>
      <c r="B35" s="32" t="s">
        <v>131</v>
      </c>
      <c r="C35" s="33"/>
      <c r="D35" s="20"/>
      <c r="E35" s="1"/>
    </row>
    <row r="36" spans="1:5" x14ac:dyDescent="0.25">
      <c r="A36" s="1"/>
      <c r="B36" s="96" t="s">
        <v>190</v>
      </c>
      <c r="C36" s="10">
        <f>'Fane 7. Kontrol af ØR2021'!E30</f>
        <v>0</v>
      </c>
      <c r="D36" s="11" t="s">
        <v>3</v>
      </c>
      <c r="E36" s="1"/>
    </row>
    <row r="37" spans="1:5" ht="26.25" customHeight="1" x14ac:dyDescent="0.25">
      <c r="A37" s="1"/>
      <c r="B37" s="118" t="s">
        <v>178</v>
      </c>
      <c r="C37" s="119"/>
      <c r="D37" s="120"/>
      <c r="E37" s="1"/>
    </row>
    <row r="38" spans="1:5" x14ac:dyDescent="0.25">
      <c r="A38" s="1"/>
      <c r="B38" s="93" t="s">
        <v>179</v>
      </c>
      <c r="C38" s="10">
        <f>'Fane 8. Skattesagen'!G12</f>
        <v>0</v>
      </c>
      <c r="D38" s="11" t="s">
        <v>3</v>
      </c>
      <c r="E38" s="1"/>
    </row>
    <row r="39" spans="1:5" x14ac:dyDescent="0.25">
      <c r="A39" s="1"/>
      <c r="B39" s="32" t="s">
        <v>78</v>
      </c>
      <c r="C39" s="12">
        <f>SUM(C22,C24,C26,C32,C34,C36,C38)</f>
        <v>109600775.61028893</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c r="E50" s="43"/>
    </row>
    <row r="51" spans="1:5" x14ac:dyDescent="0.25">
      <c r="A51" s="43"/>
      <c r="B51" s="43"/>
      <c r="C51" s="43"/>
      <c r="D51" s="43"/>
    </row>
  </sheetData>
  <sheetProtection algorithmName="SHA-512" hashValue="jhCgiKZRVOgvkZlUTUiaoi3diEtxhpooHvBMXU7B1Lz3RFapGzYeq3Je3OSJA2m4aHYdg10wiiEktP7BOhzzFg==" saltValue="Y7msXiCdT6KPLrgit0AzPQ=="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tabSelected="1" view="pageLayout" topLeftCell="A5" zoomScale="89" zoomScaleNormal="100" zoomScalePageLayoutView="89" workbookViewId="0">
      <selection activeCell="D16" sqref="D16"/>
    </sheetView>
  </sheetViews>
  <sheetFormatPr defaultColWidth="9" defaultRowHeight="15" x14ac:dyDescent="0.25"/>
  <cols>
    <col min="1" max="1" width="8.5703125" style="2" customWidth="1"/>
    <col min="2" max="2" width="56.710937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2" t="s">
        <v>263</v>
      </c>
      <c r="C3" s="122"/>
      <c r="D3" s="1"/>
    </row>
    <row r="4" spans="1:4" ht="25.5" customHeight="1" x14ac:dyDescent="0.25">
      <c r="A4" s="1"/>
      <c r="B4" s="122"/>
      <c r="C4" s="12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86" t="s">
        <v>180</v>
      </c>
      <c r="C9" s="26">
        <v>1.2699999999999999E-2</v>
      </c>
      <c r="D9" s="1"/>
    </row>
    <row r="10" spans="1:4" x14ac:dyDescent="0.25">
      <c r="A10" s="1"/>
      <c r="B10" s="86" t="s">
        <v>100</v>
      </c>
      <c r="C10" s="26">
        <v>1.7500000000000002E-2</v>
      </c>
      <c r="D10" s="1"/>
    </row>
    <row r="11" spans="1:4" x14ac:dyDescent="0.25">
      <c r="A11" s="1"/>
      <c r="B11" s="86"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86" t="s">
        <v>181</v>
      </c>
      <c r="C20" s="23">
        <v>9.1000000000000004E-3</v>
      </c>
      <c r="D20" s="1"/>
    </row>
    <row r="21" spans="1:4" x14ac:dyDescent="0.25">
      <c r="A21" s="1"/>
      <c r="B21" s="86" t="s">
        <v>102</v>
      </c>
      <c r="C21" s="23">
        <v>1.77E-2</v>
      </c>
      <c r="D21" s="1"/>
    </row>
    <row r="22" spans="1:4" x14ac:dyDescent="0.25">
      <c r="A22" s="1"/>
      <c r="B22" s="86" t="s">
        <v>101</v>
      </c>
      <c r="C22" s="23">
        <v>8.6999999999999994E-3</v>
      </c>
      <c r="D22" s="1"/>
    </row>
    <row r="23" spans="1:4" x14ac:dyDescent="0.25">
      <c r="A23" s="1"/>
      <c r="B23" s="86" t="s">
        <v>103</v>
      </c>
      <c r="C23" s="23">
        <v>2.8400000000000002E-2</v>
      </c>
      <c r="D23" s="1"/>
    </row>
    <row r="24" spans="1:4" x14ac:dyDescent="0.25">
      <c r="A24" s="1"/>
      <c r="B24" s="86" t="s">
        <v>122</v>
      </c>
      <c r="C24" s="30">
        <v>2.75E-2</v>
      </c>
      <c r="D24" s="1"/>
    </row>
    <row r="25" spans="1:4" x14ac:dyDescent="0.25">
      <c r="A25" s="1"/>
      <c r="B25" s="86" t="s">
        <v>149</v>
      </c>
      <c r="C25" s="30">
        <v>1.4800000000000001E-2</v>
      </c>
      <c r="D25" s="1"/>
    </row>
    <row r="26" spans="1:4" x14ac:dyDescent="0.25">
      <c r="A26" s="1"/>
      <c r="B26" s="86" t="s">
        <v>229</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86"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B8NQ9N7Ts5R1/QDRIX+R4rMI/AYQsGWdQtwrIQVrGRQsNTeIcFvGs5KF+1L9dB4gjrXFims0RsheC0OxZapqDg==" saltValue="Yo1ZLF1ZUb3cGGLp5CQqm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election activeCell="B29" sqref="B29"/>
    </sheetView>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85" t="s">
        <v>115</v>
      </c>
      <c r="C9" s="7">
        <f>'Fane 2.1. Økonomisk ramme 2023'!C22</f>
        <v>107549388.81582557</v>
      </c>
      <c r="D9" s="8" t="s">
        <v>3</v>
      </c>
      <c r="E9" s="1"/>
    </row>
    <row r="10" spans="1:5" ht="15" customHeight="1" x14ac:dyDescent="0.25">
      <c r="A10" s="1"/>
      <c r="B10" s="79" t="s">
        <v>19</v>
      </c>
      <c r="C10" s="7">
        <f>SUM(C9:C9)*'Fane 15. Nøgletal'!C15</f>
        <v>3828758.2418433903</v>
      </c>
      <c r="D10" s="8" t="s">
        <v>3</v>
      </c>
      <c r="E10" s="1"/>
    </row>
    <row r="11" spans="1:5" ht="15" customHeight="1" x14ac:dyDescent="0.25">
      <c r="A11" s="1"/>
      <c r="B11" s="79" t="s">
        <v>10</v>
      </c>
      <c r="C11" s="9">
        <f>-SUM(C9:C10)*'Fane 5. Individuelt eff. krav'!G9</f>
        <v>-1738267.0127040474</v>
      </c>
      <c r="D11" s="8" t="s">
        <v>3</v>
      </c>
      <c r="E11" s="1"/>
    </row>
    <row r="12" spans="1:5" ht="15" customHeight="1" x14ac:dyDescent="0.25">
      <c r="A12" s="1"/>
      <c r="B12" s="79" t="s">
        <v>25</v>
      </c>
      <c r="C12" s="9">
        <f>-'Fane 4.1. Gen. krav - drift'!G54</f>
        <v>-659423.90558432206</v>
      </c>
      <c r="D12" s="8" t="s">
        <v>3</v>
      </c>
      <c r="E12" s="1"/>
    </row>
    <row r="13" spans="1:5" ht="15" customHeight="1" x14ac:dyDescent="0.25">
      <c r="A13" s="1"/>
      <c r="B13" s="79" t="s">
        <v>26</v>
      </c>
      <c r="C13" s="9">
        <f>-'Fane 4.2. Gen. krav - anlæg'!G52</f>
        <v>0</v>
      </c>
      <c r="D13" s="8" t="s">
        <v>3</v>
      </c>
      <c r="E13" s="1"/>
    </row>
    <row r="14" spans="1:5" ht="15" customHeight="1" x14ac:dyDescent="0.25">
      <c r="A14" s="1"/>
      <c r="B14" s="35" t="s">
        <v>21</v>
      </c>
      <c r="C14" s="10">
        <f>SUM(C9:C13)</f>
        <v>108980456.13938059</v>
      </c>
      <c r="D14" s="11" t="s">
        <v>3</v>
      </c>
      <c r="E14" s="1"/>
    </row>
    <row r="15" spans="1:5" ht="15" customHeight="1" x14ac:dyDescent="0.25">
      <c r="A15" s="1"/>
      <c r="B15" s="32" t="s">
        <v>12</v>
      </c>
      <c r="C15" s="33"/>
      <c r="D15" s="20"/>
      <c r="E15" s="1"/>
    </row>
    <row r="16" spans="1:5" ht="15" customHeight="1" x14ac:dyDescent="0.25">
      <c r="A16" s="1"/>
      <c r="B16" s="96" t="s">
        <v>12</v>
      </c>
      <c r="C16" s="10">
        <f>'Fane 6. Ikke-påvirkelige omk.'!C14*(1+'Fane 15. Nøgletal'!C15)+'Fane 6. Ikke-påvirkelige omk.'!C19+'Fane 6. Ikke-påvirkelige omk.'!C27</f>
        <v>2122992.1643462563</v>
      </c>
      <c r="D16" s="11" t="s">
        <v>3</v>
      </c>
      <c r="E16" s="1"/>
    </row>
    <row r="17" spans="1:5" ht="15" customHeight="1" x14ac:dyDescent="0.25">
      <c r="A17" s="1"/>
      <c r="B17" s="32" t="s">
        <v>74</v>
      </c>
      <c r="C17" s="33"/>
      <c r="D17" s="20"/>
      <c r="E17" s="1"/>
    </row>
    <row r="18" spans="1:5" ht="15" customHeight="1" x14ac:dyDescent="0.25">
      <c r="A18" s="1"/>
      <c r="B18" s="80"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6" t="s">
        <v>190</v>
      </c>
      <c r="C20" s="10">
        <f>'Fane 7. Kontrol af ØR2021'!E36</f>
        <v>0</v>
      </c>
      <c r="D20" s="11" t="s">
        <v>3</v>
      </c>
      <c r="E20" s="1"/>
    </row>
    <row r="21" spans="1:5" x14ac:dyDescent="0.25">
      <c r="A21" s="1"/>
      <c r="B21" s="34" t="s">
        <v>178</v>
      </c>
      <c r="C21" s="33"/>
      <c r="D21" s="20"/>
      <c r="E21" s="1"/>
    </row>
    <row r="22" spans="1:5" x14ac:dyDescent="0.25">
      <c r="A22" s="1"/>
      <c r="B22" s="93" t="s">
        <v>179</v>
      </c>
      <c r="C22" s="10">
        <f>'Fane 8. Skattesagen'!G13</f>
        <v>0</v>
      </c>
      <c r="D22" s="11" t="s">
        <v>3</v>
      </c>
      <c r="E22" s="1"/>
    </row>
    <row r="23" spans="1:5" ht="15" customHeight="1" x14ac:dyDescent="0.25">
      <c r="A23" s="1"/>
      <c r="B23" s="32" t="s">
        <v>116</v>
      </c>
      <c r="C23" s="12">
        <f>SUM(C14,C16,C18,C20,C22)</f>
        <v>111103448.30372685</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43"/>
      <c r="B35" s="43"/>
      <c r="C35" s="43"/>
      <c r="D35" s="43"/>
      <c r="E35" s="43"/>
    </row>
    <row r="36" spans="1:5" x14ac:dyDescent="0.25">
      <c r="A36" s="43"/>
      <c r="B36" s="43"/>
      <c r="C36" s="43"/>
      <c r="D36" s="43"/>
      <c r="E36" s="43"/>
    </row>
    <row r="37" spans="1:5" x14ac:dyDescent="0.25">
      <c r="A37" s="43"/>
      <c r="B37" s="43"/>
      <c r="C37" s="43"/>
      <c r="D37" s="43"/>
      <c r="E37" s="43"/>
    </row>
    <row r="38" spans="1:5" x14ac:dyDescent="0.25">
      <c r="A38" s="43"/>
      <c r="B38" s="43"/>
      <c r="C38" s="43"/>
      <c r="D38" s="43"/>
      <c r="E38" s="43"/>
    </row>
    <row r="39" spans="1:5" x14ac:dyDescent="0.25">
      <c r="A39" s="43"/>
      <c r="B39" s="43"/>
      <c r="C39" s="43"/>
      <c r="D39" s="43"/>
      <c r="E39" s="43"/>
    </row>
    <row r="40" spans="1:5" x14ac:dyDescent="0.25">
      <c r="A40" s="43"/>
      <c r="B40" s="43"/>
      <c r="C40" s="43"/>
      <c r="D40" s="43"/>
      <c r="E40" s="43"/>
    </row>
    <row r="41" spans="1:5" x14ac:dyDescent="0.25">
      <c r="A41" s="43"/>
      <c r="B41" s="43"/>
      <c r="C41" s="43"/>
      <c r="D41" s="43"/>
      <c r="E41" s="43"/>
    </row>
    <row r="42" spans="1:5" x14ac:dyDescent="0.25">
      <c r="A42" s="43"/>
      <c r="B42" s="43"/>
      <c r="C42" s="43"/>
      <c r="D42" s="43"/>
      <c r="E42" s="43"/>
    </row>
    <row r="43" spans="1:5" x14ac:dyDescent="0.25">
      <c r="A43" s="43"/>
      <c r="B43" s="43"/>
      <c r="C43" s="43"/>
      <c r="D43" s="43"/>
      <c r="E43" s="43"/>
    </row>
    <row r="44" spans="1:5" x14ac:dyDescent="0.25">
      <c r="A44" s="43"/>
      <c r="B44" s="43"/>
      <c r="C44" s="43"/>
      <c r="D44" s="43"/>
      <c r="E44" s="43"/>
    </row>
    <row r="45" spans="1:5" x14ac:dyDescent="0.25">
      <c r="A45" s="43"/>
      <c r="B45" s="43"/>
      <c r="C45" s="43"/>
      <c r="D45" s="43"/>
    </row>
  </sheetData>
  <sheetProtection algorithmName="SHA-512" hashValue="koKJtkgTOsKzXkMwNI0FXFxcGvyIOSHdTgiUiU+pYVmYsa4ZXkrI8VLx9lNkeZEXdvM5AA9Yopefo+0fcn12uQ==" saltValue="5T40QRR0oqcMVtcr7mNDU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topLeftCell="A5" zoomScale="91" zoomScaleNormal="100" zoomScalePageLayoutView="91" workbookViewId="0">
      <selection activeCell="B25" sqref="B25"/>
    </sheetView>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197</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85" t="s">
        <v>137</v>
      </c>
      <c r="C8" s="7">
        <f>'Fane 2.2. Økonomisk ramme 2024'!C14</f>
        <v>108980456.13938059</v>
      </c>
      <c r="D8" s="8" t="s">
        <v>3</v>
      </c>
      <c r="E8" s="1"/>
    </row>
    <row r="9" spans="1:5" ht="15" customHeight="1" x14ac:dyDescent="0.25">
      <c r="A9" s="1"/>
      <c r="B9" s="79" t="s">
        <v>19</v>
      </c>
      <c r="C9" s="44">
        <f>SUM(C8:C8)*'Fane 15. Nøgletal'!C15</f>
        <v>3879704.2385619488</v>
      </c>
      <c r="D9" s="8" t="s">
        <v>3</v>
      </c>
      <c r="E9" s="1"/>
    </row>
    <row r="10" spans="1:5" ht="15" customHeight="1" x14ac:dyDescent="0.25">
      <c r="A10" s="1"/>
      <c r="B10" s="79" t="s">
        <v>10</v>
      </c>
      <c r="C10" s="9">
        <f>-SUM(C8:C9)*'Fane 5. Individuelt eff. krav'!G9</f>
        <v>-1761396.6385334814</v>
      </c>
      <c r="D10" s="8" t="s">
        <v>3</v>
      </c>
      <c r="E10" s="1"/>
    </row>
    <row r="11" spans="1:5" ht="15" customHeight="1" x14ac:dyDescent="0.25">
      <c r="A11" s="1"/>
      <c r="B11" s="79" t="s">
        <v>25</v>
      </c>
      <c r="C11" s="9">
        <f>-'Fane 4.1. Gen. krav - drift'!G59</f>
        <v>-669241.40869066154</v>
      </c>
      <c r="D11" s="8" t="s">
        <v>3</v>
      </c>
      <c r="E11" s="1"/>
    </row>
    <row r="12" spans="1:5" ht="15" customHeight="1" x14ac:dyDescent="0.25">
      <c r="A12" s="1"/>
      <c r="B12" s="79" t="s">
        <v>26</v>
      </c>
      <c r="C12" s="9">
        <f>-'Fane 4.2. Gen. krav - anlæg'!G57</f>
        <v>0</v>
      </c>
      <c r="D12" s="8" t="s">
        <v>3</v>
      </c>
      <c r="E12" s="1"/>
    </row>
    <row r="13" spans="1:5" ht="15.75" customHeight="1" x14ac:dyDescent="0.25">
      <c r="A13" s="1"/>
      <c r="B13" s="35" t="s">
        <v>21</v>
      </c>
      <c r="C13" s="10">
        <f>SUM(C8:C12)</f>
        <v>110429522.33071838</v>
      </c>
      <c r="D13" s="11" t="s">
        <v>3</v>
      </c>
      <c r="E13" s="1"/>
    </row>
    <row r="14" spans="1:5" x14ac:dyDescent="0.25">
      <c r="A14" s="1"/>
      <c r="B14" s="32" t="s">
        <v>12</v>
      </c>
      <c r="C14" s="33"/>
      <c r="D14" s="20"/>
      <c r="E14" s="1"/>
    </row>
    <row r="15" spans="1:5" ht="15" customHeight="1" x14ac:dyDescent="0.25">
      <c r="A15" s="1"/>
      <c r="B15" s="96" t="s">
        <v>12</v>
      </c>
      <c r="C15" s="10">
        <f>'Fane 6. Ikke-påvirkelige omk.'!C14*(1+'Fane 15. Nøgletal'!C15)^2+'Fane 6. Ikke-påvirkelige omk.'!C20+'Fane 6. Ikke-påvirkelige omk.'!C28</f>
        <v>2197146.6853969828</v>
      </c>
      <c r="D15" s="11" t="s">
        <v>3</v>
      </c>
      <c r="E15" s="1"/>
    </row>
    <row r="16" spans="1:5" ht="15" customHeight="1" x14ac:dyDescent="0.25">
      <c r="A16" s="1"/>
      <c r="B16" s="32" t="s">
        <v>74</v>
      </c>
      <c r="C16" s="33"/>
      <c r="D16" s="20"/>
      <c r="E16" s="1"/>
    </row>
    <row r="17" spans="1:5" ht="15" customHeight="1" x14ac:dyDescent="0.25">
      <c r="A17" s="1"/>
      <c r="B17" s="80" t="s">
        <v>74</v>
      </c>
      <c r="C17" s="10">
        <f>'Fane 12. Periodevise driftsomk.'!E25</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x14ac:dyDescent="0.25">
      <c r="A20" s="1"/>
      <c r="B20" s="34" t="s">
        <v>178</v>
      </c>
      <c r="C20" s="33"/>
      <c r="D20" s="20"/>
      <c r="E20" s="1"/>
    </row>
    <row r="21" spans="1:5" x14ac:dyDescent="0.25">
      <c r="A21" s="1"/>
      <c r="B21" s="93" t="s">
        <v>179</v>
      </c>
      <c r="C21" s="10">
        <f>'Fane 8. Skattesagen'!G14</f>
        <v>0</v>
      </c>
      <c r="D21" s="11" t="s">
        <v>3</v>
      </c>
      <c r="E21" s="1"/>
    </row>
    <row r="22" spans="1:5" x14ac:dyDescent="0.25">
      <c r="A22" s="1"/>
      <c r="B22" s="32" t="s">
        <v>138</v>
      </c>
      <c r="C22" s="12">
        <f>SUM(C13,C15,C17,C19,C21)</f>
        <v>112626669.01611537</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43"/>
      <c r="B45" s="43"/>
      <c r="C45" s="43"/>
      <c r="D45" s="43"/>
    </row>
  </sheetData>
  <sheetProtection algorithmName="SHA-512" hashValue="FUp5rUyNhkftf5z+QM/8bvqk/SILHu2hDKoHV/2MFGuu1Bb/AxCIg/bZMoxX7nsUQjV4EDjwZwdo7YKRutrz+w==" saltValue="txM/+tGPAqBGJSf5eE94F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topLeftCell="A5" zoomScaleNormal="100" workbookViewId="0">
      <selection activeCell="B29" sqref="B29"/>
    </sheetView>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198</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85" t="s">
        <v>199</v>
      </c>
      <c r="C8" s="7">
        <f>'Fane 2.3. Økonomisk ramme 2025'!C13</f>
        <v>110429522.33071838</v>
      </c>
      <c r="D8" s="8" t="s">
        <v>3</v>
      </c>
      <c r="E8" s="1"/>
    </row>
    <row r="9" spans="1:5" ht="15" customHeight="1" x14ac:dyDescent="0.25">
      <c r="A9" s="1"/>
      <c r="B9" s="79" t="s">
        <v>19</v>
      </c>
      <c r="C9" s="44">
        <f>SUM(C8:C8)*'Fane 15. Nøgletal'!C15</f>
        <v>3931290.9949735743</v>
      </c>
      <c r="D9" s="8" t="s">
        <v>3</v>
      </c>
      <c r="E9" s="1"/>
    </row>
    <row r="10" spans="1:5" ht="15" customHeight="1" x14ac:dyDescent="0.25">
      <c r="A10" s="1"/>
      <c r="B10" s="79" t="s">
        <v>10</v>
      </c>
      <c r="C10" s="9">
        <f>-SUM(C8:C9)*'Fane 5. Individuelt eff. krav'!G9</f>
        <v>-1784817.1710661268</v>
      </c>
      <c r="D10" s="8" t="s">
        <v>3</v>
      </c>
      <c r="E10" s="1"/>
    </row>
    <row r="11" spans="1:5" ht="15" customHeight="1" x14ac:dyDescent="0.25">
      <c r="A11" s="1"/>
      <c r="B11" s="79" t="s">
        <v>25</v>
      </c>
      <c r="C11" s="9">
        <f>-'Fane 4.1. Gen. krav - drift'!G64</f>
        <v>-679205.07478324813</v>
      </c>
      <c r="D11" s="8" t="s">
        <v>3</v>
      </c>
      <c r="E11" s="1"/>
    </row>
    <row r="12" spans="1:5" ht="15" customHeight="1" x14ac:dyDescent="0.25">
      <c r="A12" s="1"/>
      <c r="B12" s="79" t="s">
        <v>26</v>
      </c>
      <c r="C12" s="9">
        <f>-'Fane 4.2. Gen. krav - anlæg'!G62</f>
        <v>0</v>
      </c>
      <c r="D12" s="8" t="s">
        <v>3</v>
      </c>
      <c r="E12" s="1"/>
    </row>
    <row r="13" spans="1:5" ht="15.75" customHeight="1" x14ac:dyDescent="0.25">
      <c r="A13" s="1"/>
      <c r="B13" s="35" t="s">
        <v>21</v>
      </c>
      <c r="C13" s="10">
        <f>SUM(C8:C12)</f>
        <v>111896791.07984258</v>
      </c>
      <c r="D13" s="11" t="s">
        <v>3</v>
      </c>
      <c r="E13" s="1"/>
    </row>
    <row r="14" spans="1:5" x14ac:dyDescent="0.25">
      <c r="A14" s="1"/>
      <c r="B14" s="32" t="s">
        <v>12</v>
      </c>
      <c r="C14" s="33"/>
      <c r="D14" s="20"/>
      <c r="E14" s="1"/>
    </row>
    <row r="15" spans="1:5" ht="15" customHeight="1" x14ac:dyDescent="0.25">
      <c r="A15" s="1"/>
      <c r="B15" s="96" t="s">
        <v>12</v>
      </c>
      <c r="C15" s="10">
        <f>'Fane 6. Ikke-påvirkelige omk.'!C14*(1+'Fane 15. Nøgletal'!C15)^3+'Fane 6. Ikke-påvirkelige omk.'!C21+'Fane 6. Ikke-påvirkelige omk.'!C29</f>
        <v>2605183.1073971153</v>
      </c>
      <c r="D15" s="11" t="s">
        <v>3</v>
      </c>
      <c r="E15" s="1"/>
    </row>
    <row r="16" spans="1:5" ht="15" customHeight="1" x14ac:dyDescent="0.25">
      <c r="A16" s="1"/>
      <c r="B16" s="32" t="s">
        <v>74</v>
      </c>
      <c r="C16" s="33"/>
      <c r="D16" s="20"/>
      <c r="E16" s="1"/>
    </row>
    <row r="17" spans="1:5" ht="15" customHeight="1" x14ac:dyDescent="0.25">
      <c r="A17" s="1"/>
      <c r="B17" s="80"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0</v>
      </c>
      <c r="D19" s="11" t="s">
        <v>3</v>
      </c>
      <c r="E19" s="1"/>
    </row>
    <row r="20" spans="1:5" ht="15" customHeight="1" x14ac:dyDescent="0.25">
      <c r="A20" s="1"/>
      <c r="B20" s="34" t="s">
        <v>178</v>
      </c>
      <c r="C20" s="33"/>
      <c r="D20" s="20"/>
      <c r="E20" s="1"/>
    </row>
    <row r="21" spans="1:5" ht="15" customHeight="1" x14ac:dyDescent="0.25">
      <c r="A21" s="1"/>
      <c r="B21" s="93" t="s">
        <v>179</v>
      </c>
      <c r="C21" s="10">
        <f>'Fane 8. Skattesagen'!G15</f>
        <v>0</v>
      </c>
      <c r="D21" s="11" t="s">
        <v>3</v>
      </c>
      <c r="E21" s="1"/>
    </row>
    <row r="22" spans="1:5" ht="15" customHeight="1" x14ac:dyDescent="0.25">
      <c r="A22" s="1"/>
      <c r="B22" s="32" t="s">
        <v>200</v>
      </c>
      <c r="C22" s="12">
        <f>SUM(C13,C15,C17,C19,C21)</f>
        <v>114501974.18723969</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cif5MHfrkG4vkLhd8UWxPNmF+85H5Y4zI8Q3zowyTGYp/eQaxuvOM64Fe46PyTjiHOc9f72D34InA5OO/sV7Bg==" saltValue="91Wb9RK1p3aTg6fkFodsW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topLeftCell="A9"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2" t="s">
        <v>201</v>
      </c>
      <c r="C3" s="122"/>
      <c r="D3" s="122"/>
      <c r="E3" s="122"/>
      <c r="F3" s="122"/>
      <c r="G3" s="1"/>
    </row>
    <row r="4" spans="1:7" ht="29.25" customHeight="1" x14ac:dyDescent="0.25">
      <c r="A4" s="1"/>
      <c r="B4" s="122"/>
      <c r="C4" s="122"/>
      <c r="D4" s="122"/>
      <c r="E4" s="122"/>
      <c r="F4" s="12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202</v>
      </c>
      <c r="C8" s="33"/>
      <c r="D8" s="33"/>
      <c r="E8" s="33"/>
      <c r="F8" s="20"/>
      <c r="G8" s="1"/>
    </row>
    <row r="9" spans="1:7" x14ac:dyDescent="0.25">
      <c r="A9" s="1"/>
      <c r="B9" s="123" t="s">
        <v>24</v>
      </c>
      <c r="C9" s="124"/>
      <c r="D9" s="125"/>
      <c r="E9" s="63">
        <v>112616688.99349886</v>
      </c>
      <c r="F9" s="8" t="s">
        <v>3</v>
      </c>
      <c r="G9" s="1"/>
    </row>
    <row r="10" spans="1:7" ht="14.25" customHeight="1" x14ac:dyDescent="0.25">
      <c r="A10" s="1"/>
      <c r="B10" s="129" t="s">
        <v>39</v>
      </c>
      <c r="C10" s="130"/>
      <c r="D10" s="131"/>
      <c r="E10" s="63">
        <v>0</v>
      </c>
      <c r="F10" s="8" t="s">
        <v>3</v>
      </c>
      <c r="G10" s="1"/>
    </row>
    <row r="11" spans="1:7" ht="14.25" customHeight="1" x14ac:dyDescent="0.25">
      <c r="A11" s="1"/>
      <c r="B11" s="129" t="s">
        <v>40</v>
      </c>
      <c r="C11" s="130"/>
      <c r="D11" s="131"/>
      <c r="E11" s="63">
        <v>0</v>
      </c>
      <c r="F11" s="8" t="s">
        <v>3</v>
      </c>
      <c r="G11" s="1"/>
    </row>
    <row r="12" spans="1:7" x14ac:dyDescent="0.25">
      <c r="A12" s="1"/>
      <c r="B12" s="126" t="s">
        <v>28</v>
      </c>
      <c r="C12" s="127"/>
      <c r="D12" s="128"/>
      <c r="E12" s="64">
        <v>0</v>
      </c>
      <c r="F12" s="8" t="s">
        <v>3</v>
      </c>
      <c r="G12" s="1"/>
    </row>
    <row r="13" spans="1:7" ht="15" customHeight="1" x14ac:dyDescent="0.25">
      <c r="A13" s="1"/>
      <c r="B13" s="126" t="s">
        <v>27</v>
      </c>
      <c r="C13" s="127"/>
      <c r="D13" s="128"/>
      <c r="E13" s="64">
        <v>0</v>
      </c>
      <c r="F13" s="8" t="s">
        <v>3</v>
      </c>
      <c r="G13" s="1"/>
    </row>
    <row r="14" spans="1:7" x14ac:dyDescent="0.25">
      <c r="A14" s="1"/>
      <c r="B14" s="126" t="s">
        <v>113</v>
      </c>
      <c r="C14" s="127"/>
      <c r="D14" s="128"/>
      <c r="E14" s="64">
        <v>0</v>
      </c>
      <c r="F14" s="8" t="s">
        <v>3</v>
      </c>
      <c r="G14" s="1"/>
    </row>
    <row r="15" spans="1:7" x14ac:dyDescent="0.25">
      <c r="A15" s="1"/>
      <c r="B15" s="126" t="s">
        <v>114</v>
      </c>
      <c r="C15" s="127"/>
      <c r="D15" s="128"/>
      <c r="E15" s="64">
        <v>0</v>
      </c>
      <c r="F15" s="8" t="s">
        <v>3</v>
      </c>
      <c r="G15" s="1"/>
    </row>
    <row r="16" spans="1:7" x14ac:dyDescent="0.25">
      <c r="A16" s="1"/>
      <c r="B16" s="126" t="s">
        <v>19</v>
      </c>
      <c r="C16" s="127"/>
      <c r="D16" s="128"/>
      <c r="E16" s="64">
        <f>SUM(E9:E15)*'Fane 15. Nøgletal'!C14</f>
        <v>371635.07367854624</v>
      </c>
      <c r="F16" s="8" t="s">
        <v>3</v>
      </c>
      <c r="G16" s="1"/>
    </row>
    <row r="17" spans="1:7" x14ac:dyDescent="0.25">
      <c r="A17" s="1"/>
      <c r="B17" s="126" t="s">
        <v>10</v>
      </c>
      <c r="C17" s="127"/>
      <c r="D17" s="128"/>
      <c r="E17" s="64">
        <v>-1763396.8757353814</v>
      </c>
      <c r="F17" s="8" t="s">
        <v>3</v>
      </c>
      <c r="G17" s="1"/>
    </row>
    <row r="18" spans="1:7" x14ac:dyDescent="0.25">
      <c r="A18" s="1"/>
      <c r="B18" s="126" t="s">
        <v>25</v>
      </c>
      <c r="C18" s="127"/>
      <c r="D18" s="128"/>
      <c r="E18" s="64">
        <f>-'Fane 4.1. Gen. krav - drift'!G42</f>
        <v>-651083.95616052428</v>
      </c>
      <c r="F18" s="8" t="s">
        <v>3</v>
      </c>
      <c r="G18" s="1"/>
    </row>
    <row r="19" spans="1:7" x14ac:dyDescent="0.25">
      <c r="A19" s="1"/>
      <c r="B19" s="126" t="s">
        <v>26</v>
      </c>
      <c r="C19" s="127"/>
      <c r="D19" s="128"/>
      <c r="E19" s="64">
        <f>-'Fane 4.2. Gen. krav - anlæg'!G41</f>
        <v>-1209211.6765136844</v>
      </c>
      <c r="F19" s="8" t="s">
        <v>3</v>
      </c>
      <c r="G19" s="1"/>
    </row>
    <row r="20" spans="1:7" x14ac:dyDescent="0.25">
      <c r="A20" s="1"/>
      <c r="B20" s="138" t="s">
        <v>21</v>
      </c>
      <c r="C20" s="139"/>
      <c r="D20" s="140"/>
      <c r="E20" s="65">
        <f>SUM(E9:E19)</f>
        <v>109364631.55876781</v>
      </c>
      <c r="F20" s="45" t="s">
        <v>3</v>
      </c>
      <c r="G20" s="1"/>
    </row>
    <row r="21" spans="1:7" x14ac:dyDescent="0.25">
      <c r="A21" s="1"/>
      <c r="B21" s="32" t="s">
        <v>12</v>
      </c>
      <c r="C21" s="33"/>
      <c r="D21" s="33"/>
      <c r="E21" s="66"/>
      <c r="F21" s="20"/>
      <c r="G21" s="1"/>
    </row>
    <row r="22" spans="1:7" ht="14.25" customHeight="1" x14ac:dyDescent="0.25">
      <c r="A22" s="1"/>
      <c r="B22" s="135" t="s">
        <v>12</v>
      </c>
      <c r="C22" s="136"/>
      <c r="D22" s="137"/>
      <c r="E22" s="67">
        <v>1891970.7683091203</v>
      </c>
      <c r="F22" s="10" t="s">
        <v>3</v>
      </c>
      <c r="G22" s="1"/>
    </row>
    <row r="23" spans="1:7" ht="14.25" customHeight="1" x14ac:dyDescent="0.25">
      <c r="A23" s="1"/>
      <c r="B23" s="32" t="s">
        <v>74</v>
      </c>
      <c r="C23" s="33"/>
      <c r="D23" s="33"/>
      <c r="E23" s="66"/>
      <c r="F23" s="20"/>
      <c r="G23" s="1"/>
    </row>
    <row r="24" spans="1:7" x14ac:dyDescent="0.25">
      <c r="A24" s="1"/>
      <c r="B24" s="141" t="s">
        <v>74</v>
      </c>
      <c r="C24" s="142"/>
      <c r="D24" s="143"/>
      <c r="E24" s="67">
        <v>0</v>
      </c>
      <c r="F24" s="10" t="s">
        <v>3</v>
      </c>
      <c r="G24" s="1"/>
    </row>
    <row r="25" spans="1:7" x14ac:dyDescent="0.25">
      <c r="A25" s="1"/>
      <c r="B25" s="32" t="s">
        <v>73</v>
      </c>
      <c r="C25" s="33"/>
      <c r="D25" s="33"/>
      <c r="E25" s="66"/>
      <c r="F25" s="20"/>
      <c r="G25" s="1"/>
    </row>
    <row r="26" spans="1:7" ht="15.4" customHeight="1" x14ac:dyDescent="0.25">
      <c r="A26" s="1"/>
      <c r="B26" s="129" t="s">
        <v>69</v>
      </c>
      <c r="C26" s="130"/>
      <c r="D26" s="131"/>
      <c r="E26" s="68">
        <v>0</v>
      </c>
      <c r="F26" s="8" t="s">
        <v>3</v>
      </c>
      <c r="G26" s="1"/>
    </row>
    <row r="27" spans="1:7" ht="15.75" customHeight="1" x14ac:dyDescent="0.25">
      <c r="A27" s="1"/>
      <c r="B27" s="129" t="s">
        <v>70</v>
      </c>
      <c r="C27" s="130"/>
      <c r="D27" s="131"/>
      <c r="E27" s="68">
        <v>0</v>
      </c>
      <c r="F27" s="8" t="s">
        <v>3</v>
      </c>
      <c r="G27" s="1"/>
    </row>
    <row r="28" spans="1:7" x14ac:dyDescent="0.25">
      <c r="A28" s="1"/>
      <c r="B28" s="80" t="s">
        <v>75</v>
      </c>
      <c r="C28" s="36"/>
      <c r="D28" s="37"/>
      <c r="E28" s="67">
        <v>0</v>
      </c>
      <c r="F28" s="11" t="s">
        <v>3</v>
      </c>
      <c r="G28" s="1"/>
    </row>
    <row r="29" spans="1:7" x14ac:dyDescent="0.25">
      <c r="A29" s="1"/>
      <c r="B29" s="32" t="s">
        <v>136</v>
      </c>
      <c r="C29" s="33"/>
      <c r="D29" s="33"/>
      <c r="E29" s="66"/>
      <c r="F29" s="20"/>
      <c r="G29" s="1"/>
    </row>
    <row r="30" spans="1:7" ht="15" customHeight="1" x14ac:dyDescent="0.25">
      <c r="A30" s="1"/>
      <c r="B30" s="135" t="s">
        <v>136</v>
      </c>
      <c r="C30" s="136"/>
      <c r="D30" s="137"/>
      <c r="E30" s="67">
        <v>0</v>
      </c>
      <c r="F30" s="11" t="s">
        <v>3</v>
      </c>
      <c r="G30" s="1"/>
    </row>
    <row r="31" spans="1:7" ht="15" customHeight="1" x14ac:dyDescent="0.25">
      <c r="A31" s="1"/>
      <c r="B31" s="32" t="s">
        <v>131</v>
      </c>
      <c r="C31" s="32"/>
      <c r="D31" s="32"/>
      <c r="E31" s="66"/>
      <c r="F31" s="20"/>
      <c r="G31" s="1"/>
    </row>
    <row r="32" spans="1:7" ht="15" customHeight="1" x14ac:dyDescent="0.25">
      <c r="A32" s="1"/>
      <c r="B32" s="135" t="s">
        <v>190</v>
      </c>
      <c r="C32" s="136"/>
      <c r="D32" s="137"/>
      <c r="E32" s="67">
        <v>0</v>
      </c>
      <c r="F32" s="11" t="s">
        <v>3</v>
      </c>
      <c r="G32" s="1"/>
    </row>
    <row r="33" spans="1:7" ht="15" customHeight="1" x14ac:dyDescent="0.25">
      <c r="A33" s="1"/>
      <c r="B33" s="34" t="s">
        <v>178</v>
      </c>
      <c r="C33" s="34"/>
      <c r="D33" s="34"/>
      <c r="E33" s="66"/>
      <c r="F33" s="20"/>
      <c r="G33" s="1"/>
    </row>
    <row r="34" spans="1:7" ht="15" customHeight="1" x14ac:dyDescent="0.25">
      <c r="A34" s="1"/>
      <c r="B34" s="93" t="s">
        <v>179</v>
      </c>
      <c r="C34" s="93"/>
      <c r="D34" s="93"/>
      <c r="E34" s="67">
        <f>'Fane 8. Skattesagen'!G11</f>
        <v>0</v>
      </c>
      <c r="F34" s="11" t="s">
        <v>3</v>
      </c>
      <c r="G34" s="1"/>
    </row>
    <row r="35" spans="1:7" x14ac:dyDescent="0.25">
      <c r="A35" s="1"/>
      <c r="B35" s="46" t="s">
        <v>29</v>
      </c>
      <c r="C35" s="48"/>
      <c r="D35" s="48"/>
      <c r="E35" s="69">
        <f>E20+E22+E24+E28+E30+E32+E34</f>
        <v>111256602.32707693</v>
      </c>
      <c r="F35" s="47" t="s">
        <v>3</v>
      </c>
      <c r="G35" s="1"/>
    </row>
    <row r="36" spans="1:7" ht="27" customHeight="1" x14ac:dyDescent="0.25">
      <c r="A36" s="1"/>
      <c r="B36" s="132" t="s">
        <v>203</v>
      </c>
      <c r="C36" s="133"/>
      <c r="D36" s="133"/>
      <c r="E36" s="133"/>
      <c r="F36" s="13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Tu2wLnkDwMfIVQ7D2/izmdWKUryR3yt6rdLCUC3FvEssYkplGHESMWCKZjjiKLPUk9ioa0dI1bCOpjXFHECZhQ==" saltValue="a4e/jW4XFbkxHxLtLfubFA==" spinCount="100000" sheet="1" objects="1" scenarios="1"/>
  <mergeCells count="20">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 ref="B3:F4"/>
    <mergeCell ref="B9:D9"/>
    <mergeCell ref="B12:D12"/>
    <mergeCell ref="B13:D13"/>
    <mergeCell ref="B10:D10"/>
    <mergeCell ref="B11:D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topLeftCell="A49"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22" t="s">
        <v>99</v>
      </c>
      <c r="C1" s="122"/>
      <c r="D1" s="122"/>
      <c r="E1" s="122"/>
      <c r="F1" s="122"/>
      <c r="G1" s="122"/>
      <c r="H1" s="122"/>
      <c r="I1" s="1"/>
    </row>
    <row r="2" spans="1:9" ht="15" customHeight="1" x14ac:dyDescent="0.25">
      <c r="A2" s="1"/>
      <c r="B2" s="122"/>
      <c r="C2" s="122"/>
      <c r="D2" s="122"/>
      <c r="E2" s="122"/>
      <c r="F2" s="122"/>
      <c r="G2" s="122"/>
      <c r="H2" s="122"/>
      <c r="I2" s="1"/>
    </row>
    <row r="3" spans="1:9" ht="15" customHeight="1" x14ac:dyDescent="0.25">
      <c r="A3" s="1"/>
      <c r="B3" s="122"/>
      <c r="C3" s="122"/>
      <c r="D3" s="122"/>
      <c r="E3" s="122"/>
      <c r="F3" s="122"/>
      <c r="G3" s="122"/>
      <c r="H3" s="122"/>
      <c r="I3" s="1"/>
    </row>
    <row r="4" spans="1:9" x14ac:dyDescent="0.25">
      <c r="A4" s="1"/>
      <c r="B4" s="150" t="s">
        <v>154</v>
      </c>
      <c r="C4" s="151"/>
      <c r="D4" s="151"/>
      <c r="E4" s="151"/>
      <c r="F4" s="151"/>
      <c r="G4" s="151"/>
      <c r="H4" s="153"/>
      <c r="I4" s="1"/>
    </row>
    <row r="5" spans="1:9" x14ac:dyDescent="0.25">
      <c r="A5" s="1"/>
      <c r="B5" s="144" t="s">
        <v>155</v>
      </c>
      <c r="C5" s="145"/>
      <c r="D5" s="145"/>
      <c r="E5" s="145"/>
      <c r="F5" s="146"/>
      <c r="G5" s="24">
        <v>33489459.031905983</v>
      </c>
      <c r="H5" s="14" t="s">
        <v>3</v>
      </c>
      <c r="I5" s="1"/>
    </row>
    <row r="6" spans="1:9" ht="15" customHeight="1" x14ac:dyDescent="0.25">
      <c r="A6" s="1"/>
      <c r="B6" s="132" t="s">
        <v>156</v>
      </c>
      <c r="C6" s="133"/>
      <c r="D6" s="133"/>
      <c r="E6" s="133"/>
      <c r="F6" s="134"/>
      <c r="G6" s="70">
        <v>0</v>
      </c>
      <c r="H6" s="14" t="s">
        <v>3</v>
      </c>
      <c r="I6" s="1"/>
    </row>
    <row r="7" spans="1:9" x14ac:dyDescent="0.25">
      <c r="A7" s="1"/>
      <c r="B7" s="144" t="s">
        <v>157</v>
      </c>
      <c r="C7" s="145"/>
      <c r="D7" s="145"/>
      <c r="E7" s="145"/>
      <c r="F7" s="146"/>
      <c r="G7" s="70">
        <f>SUM(G5:G6)*'Fane 15. Nøgletal'!C31</f>
        <v>669789.18063811969</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4" t="s">
        <v>158</v>
      </c>
      <c r="C11" s="145"/>
      <c r="D11" s="145"/>
      <c r="E11" s="145"/>
      <c r="F11" s="146"/>
      <c r="G11" s="70">
        <f>(G5-G7)*(1+'Fane 15. Nøgletal'!C10)</f>
        <v>33394014.073665053</v>
      </c>
      <c r="H11" s="14" t="s">
        <v>3</v>
      </c>
      <c r="I11" s="1"/>
    </row>
    <row r="12" spans="1:9" x14ac:dyDescent="0.25">
      <c r="A12" s="1"/>
      <c r="B12" s="144" t="s">
        <v>110</v>
      </c>
      <c r="C12" s="145"/>
      <c r="D12" s="145"/>
      <c r="E12" s="145"/>
      <c r="F12" s="146"/>
      <c r="G12" s="70">
        <v>0.26724710838869215</v>
      </c>
      <c r="H12" s="14" t="s">
        <v>3</v>
      </c>
      <c r="I12" s="1"/>
    </row>
    <row r="13" spans="1:9" x14ac:dyDescent="0.25">
      <c r="A13" s="1"/>
      <c r="B13" s="132" t="s">
        <v>108</v>
      </c>
      <c r="C13" s="133"/>
      <c r="D13" s="133"/>
      <c r="E13" s="133"/>
      <c r="F13" s="134"/>
      <c r="G13" s="70">
        <v>0</v>
      </c>
      <c r="H13" s="14" t="s">
        <v>3</v>
      </c>
      <c r="I13" s="1"/>
    </row>
    <row r="14" spans="1:9" x14ac:dyDescent="0.25">
      <c r="A14" s="1"/>
      <c r="B14" s="156" t="s">
        <v>159</v>
      </c>
      <c r="C14" s="154"/>
      <c r="D14" s="154"/>
      <c r="E14" s="154"/>
      <c r="F14" s="155"/>
      <c r="G14" s="70">
        <v>0</v>
      </c>
      <c r="H14" s="14" t="s">
        <v>3</v>
      </c>
      <c r="I14" s="1"/>
    </row>
    <row r="15" spans="1:9" x14ac:dyDescent="0.25">
      <c r="A15" s="1"/>
      <c r="B15" s="144" t="s">
        <v>42</v>
      </c>
      <c r="C15" s="145"/>
      <c r="D15" s="145"/>
      <c r="E15" s="145"/>
      <c r="F15" s="146"/>
      <c r="G15" s="70">
        <f>SUM(G11:G14)*'Fane 15. Nøgletal'!C31</f>
        <v>667880.28681824321</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4" t="s">
        <v>43</v>
      </c>
      <c r="C19" s="145"/>
      <c r="D19" s="145"/>
      <c r="E19" s="145"/>
      <c r="F19" s="146"/>
      <c r="G19" s="70">
        <f>(G11+G12+G14-G15)*(1+'Fane 15. Nøgletal'!C10)</f>
        <v>33298841.400040563</v>
      </c>
      <c r="H19" s="14" t="s">
        <v>3</v>
      </c>
      <c r="I19" s="1"/>
    </row>
    <row r="20" spans="1:9" x14ac:dyDescent="0.25">
      <c r="A20" s="1"/>
      <c r="B20" s="156" t="s">
        <v>44</v>
      </c>
      <c r="C20" s="154"/>
      <c r="D20" s="154"/>
      <c r="E20" s="154"/>
      <c r="F20" s="155"/>
      <c r="G20" s="70">
        <v>0</v>
      </c>
      <c r="H20" s="14" t="s">
        <v>3</v>
      </c>
      <c r="I20" s="1"/>
    </row>
    <row r="21" spans="1:9" x14ac:dyDescent="0.25">
      <c r="A21" s="1"/>
      <c r="B21" s="144" t="s">
        <v>45</v>
      </c>
      <c r="C21" s="145"/>
      <c r="D21" s="145"/>
      <c r="E21" s="145"/>
      <c r="F21" s="146"/>
      <c r="G21" s="70">
        <f>(G19+G20)*'Fane 15. Nøgletal'!C31</f>
        <v>665976.82800081128</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4" t="s">
        <v>46</v>
      </c>
      <c r="C25" s="145"/>
      <c r="D25" s="145"/>
      <c r="E25" s="145"/>
      <c r="F25" s="146"/>
      <c r="G25" s="70">
        <f>G19*(1-'Fane 15. Nøgletal'!C31)*(1+'Fane 15. Nøgletal'!C10)+G20*(1-'Fane 15. Nøgletal'!C31)*(1+'Fane 15. Nøgletal'!C11)</f>
        <v>33203939.702050451</v>
      </c>
      <c r="H25" s="14" t="s">
        <v>3</v>
      </c>
      <c r="I25" s="1"/>
    </row>
    <row r="26" spans="1:9" x14ac:dyDescent="0.25">
      <c r="A26" s="1"/>
      <c r="B26" s="147" t="s">
        <v>160</v>
      </c>
      <c r="C26" s="148"/>
      <c r="D26" s="148"/>
      <c r="E26" s="148"/>
      <c r="F26" s="149"/>
      <c r="G26" s="70">
        <f>G20*(1-'Fane 15. Nøgletal'!C31)*(1+'Fane 15. Nøgletal'!C11)</f>
        <v>0</v>
      </c>
      <c r="H26" s="14" t="s">
        <v>3</v>
      </c>
      <c r="I26" s="1"/>
    </row>
    <row r="27" spans="1:9" x14ac:dyDescent="0.25">
      <c r="A27" s="1"/>
      <c r="B27" s="156" t="s">
        <v>47</v>
      </c>
      <c r="C27" s="154"/>
      <c r="D27" s="154"/>
      <c r="E27" s="154"/>
      <c r="F27" s="155"/>
      <c r="G27" s="70">
        <v>0</v>
      </c>
      <c r="H27" s="14" t="s">
        <v>3</v>
      </c>
      <c r="I27" s="1"/>
    </row>
    <row r="28" spans="1:9" x14ac:dyDescent="0.25">
      <c r="A28" s="1"/>
      <c r="B28" s="144" t="s">
        <v>48</v>
      </c>
      <c r="C28" s="145"/>
      <c r="D28" s="145"/>
      <c r="E28" s="145"/>
      <c r="F28" s="146"/>
      <c r="G28" s="70">
        <f>SUM(G25,G27)*'Fane 15. Nøgletal'!C31</f>
        <v>664078.79404100904</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4" t="s">
        <v>53</v>
      </c>
      <c r="C32" s="145"/>
      <c r="D32" s="145"/>
      <c r="E32" s="145"/>
      <c r="F32" s="146"/>
      <c r="G32" s="70">
        <f>(G25-G26)*(1-'Fane 15. Nøgletal'!C31)*(1+'Fane 15. Nøgletal'!C10)+G26*(1-'Fane 15. Nøgletal'!C31)*(1+'Fane 15. Nøgletal'!C11)+G27*(1-'Fane 15. Nøgletal'!C31)*(1+'Fane 15. Nøgletal'!C12)</f>
        <v>33109308.47389961</v>
      </c>
      <c r="H32" s="14" t="s">
        <v>3</v>
      </c>
      <c r="I32" s="1"/>
    </row>
    <row r="33" spans="1:9" x14ac:dyDescent="0.25">
      <c r="A33" s="1"/>
      <c r="B33" s="147" t="s">
        <v>160</v>
      </c>
      <c r="C33" s="154"/>
      <c r="D33" s="154"/>
      <c r="E33" s="154"/>
      <c r="F33" s="155"/>
      <c r="G33" s="70">
        <f>G26*(1-'Fane 15. Nøgletal'!C31)*(1+'Fane 15. Nøgletal'!C11)</f>
        <v>0</v>
      </c>
      <c r="H33" s="14" t="s">
        <v>3</v>
      </c>
      <c r="I33" s="1"/>
    </row>
    <row r="34" spans="1:9" x14ac:dyDescent="0.25">
      <c r="A34" s="1"/>
      <c r="B34" s="147" t="s">
        <v>107</v>
      </c>
      <c r="C34" s="154"/>
      <c r="D34" s="154"/>
      <c r="E34" s="154"/>
      <c r="F34" s="155"/>
      <c r="G34" s="70">
        <f>G27*(1-'Fane 15. Nøgletal'!C31)*(1+'Fane 15. Nøgletal'!C12)</f>
        <v>0</v>
      </c>
      <c r="H34" s="14" t="s">
        <v>3</v>
      </c>
      <c r="I34" s="1"/>
    </row>
    <row r="35" spans="1:9" x14ac:dyDescent="0.25">
      <c r="A35" s="1"/>
      <c r="B35" s="144" t="s">
        <v>123</v>
      </c>
      <c r="C35" s="145"/>
      <c r="D35" s="145"/>
      <c r="E35" s="145"/>
      <c r="F35" s="146"/>
      <c r="G35" s="70">
        <v>0</v>
      </c>
      <c r="H35" s="14" t="s">
        <v>3</v>
      </c>
      <c r="I35" s="1"/>
    </row>
    <row r="36" spans="1:9" x14ac:dyDescent="0.25">
      <c r="A36" s="1"/>
      <c r="B36" s="144" t="s">
        <v>54</v>
      </c>
      <c r="C36" s="145"/>
      <c r="D36" s="145"/>
      <c r="E36" s="145"/>
      <c r="F36" s="146"/>
      <c r="G36" s="70">
        <f>SUM(G32,G35)*'Fane 15. Nøgletal'!C31</f>
        <v>662186.16947799223</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4" t="s">
        <v>166</v>
      </c>
      <c r="C40" s="145"/>
      <c r="D40" s="145"/>
      <c r="E40" s="145"/>
      <c r="F40" s="146"/>
      <c r="G40" s="70">
        <f>(SUM(G32,G35)-G36)*(1+'Fane 15. Nøgletal'!C14)</f>
        <v>32554197.808026213</v>
      </c>
      <c r="H40" s="14" t="s">
        <v>3</v>
      </c>
      <c r="I40" s="1"/>
    </row>
    <row r="41" spans="1:9" x14ac:dyDescent="0.25">
      <c r="A41" s="1"/>
      <c r="B41" s="144" t="s">
        <v>165</v>
      </c>
      <c r="C41" s="145"/>
      <c r="D41" s="145"/>
      <c r="E41" s="145"/>
      <c r="F41" s="146"/>
      <c r="G41" s="73">
        <v>0</v>
      </c>
      <c r="H41" s="14" t="s">
        <v>3</v>
      </c>
      <c r="I41" s="1"/>
    </row>
    <row r="42" spans="1:9" x14ac:dyDescent="0.25">
      <c r="A42" s="1"/>
      <c r="B42" s="144" t="s">
        <v>164</v>
      </c>
      <c r="C42" s="145"/>
      <c r="D42" s="145"/>
      <c r="E42" s="145"/>
      <c r="F42" s="146"/>
      <c r="G42" s="70">
        <f>(G40+G41)*'Fane 15. Nøgletal'!C31</f>
        <v>651083.95616052428</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4" t="s">
        <v>175</v>
      </c>
      <c r="C46" s="145"/>
      <c r="D46" s="145"/>
      <c r="E46" s="145"/>
      <c r="F46" s="146"/>
      <c r="G46" s="70">
        <f>(G40+G41-G42)*(1+'Fane 15. Nøgletal'!C14)</f>
        <v>32008394.12757685</v>
      </c>
      <c r="H46" s="14" t="s">
        <v>3</v>
      </c>
      <c r="I46" s="1"/>
    </row>
    <row r="47" spans="1:9" x14ac:dyDescent="0.25">
      <c r="A47" s="1"/>
      <c r="B47" s="147" t="s">
        <v>238</v>
      </c>
      <c r="C47" s="148"/>
      <c r="D47" s="148"/>
      <c r="E47" s="148"/>
      <c r="F47" s="149"/>
      <c r="G47" s="73">
        <f>('Fane 2.1. Økonomisk ramme 2023'!C12+'Fane 2.1. Økonomisk ramme 2023'!C14+'Fane 2.1. Økonomisk ramme 2023'!C16)*(1+'Fane 15. Nøgletal'!C15)</f>
        <v>479126.9380147201</v>
      </c>
      <c r="H47" s="14" t="s">
        <v>3</v>
      </c>
      <c r="I47" s="1"/>
    </row>
    <row r="48" spans="1:9" x14ac:dyDescent="0.25">
      <c r="A48" s="1"/>
      <c r="B48" s="144" t="s">
        <v>176</v>
      </c>
      <c r="C48" s="145"/>
      <c r="D48" s="145"/>
      <c r="E48" s="145"/>
      <c r="F48" s="146"/>
      <c r="G48" s="70">
        <f>G46*'Fane 15. Nøgletal'!C31+'Fane 4.1. Gen. krav - drift'!G47*'Fane 15. Nøgletal'!C31</f>
        <v>649750.42131183145</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4" t="s">
        <v>125</v>
      </c>
      <c r="C53" s="145"/>
      <c r="D53" s="145"/>
      <c r="E53" s="145"/>
      <c r="F53" s="146"/>
      <c r="G53" s="70">
        <f>(G46+G47-G48)*(1+'Fane 15. Nøgletal'!C15)</f>
        <v>32971195.2792161</v>
      </c>
      <c r="H53" s="14" t="s">
        <v>3</v>
      </c>
      <c r="I53" s="1"/>
    </row>
    <row r="54" spans="1:9" x14ac:dyDescent="0.25">
      <c r="A54" s="1"/>
      <c r="B54" s="144" t="s">
        <v>126</v>
      </c>
      <c r="C54" s="145"/>
      <c r="D54" s="145"/>
      <c r="E54" s="145"/>
      <c r="F54" s="146"/>
      <c r="G54" s="70">
        <f>(G53)*'Fane 15. Nøgletal'!C31</f>
        <v>659423.90558432206</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90" t="s">
        <v>152</v>
      </c>
      <c r="C57" s="91"/>
      <c r="D57" s="91"/>
      <c r="E57" s="91"/>
      <c r="F57" s="91"/>
      <c r="G57" s="75"/>
      <c r="H57" s="92"/>
      <c r="I57" s="1"/>
    </row>
    <row r="58" spans="1:9" x14ac:dyDescent="0.25">
      <c r="A58" s="1"/>
      <c r="B58" s="87" t="s">
        <v>161</v>
      </c>
      <c r="C58" s="88"/>
      <c r="D58" s="88"/>
      <c r="E58" s="88"/>
      <c r="F58" s="89"/>
      <c r="G58" s="70">
        <f>(G53-G54)*(1+'Fane 15. Nøgletal'!C15)</f>
        <v>33462070.434533074</v>
      </c>
      <c r="H58" s="14" t="s">
        <v>3</v>
      </c>
      <c r="I58" s="1"/>
    </row>
    <row r="59" spans="1:9" x14ac:dyDescent="0.25">
      <c r="A59" s="1"/>
      <c r="B59" s="87" t="s">
        <v>162</v>
      </c>
      <c r="C59" s="88"/>
      <c r="D59" s="88"/>
      <c r="E59" s="88"/>
      <c r="F59" s="89"/>
      <c r="G59" s="70">
        <f>(G58)*'Fane 15. Nøgletal'!C31</f>
        <v>669241.40869066154</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90" t="s">
        <v>204</v>
      </c>
      <c r="C62" s="91"/>
      <c r="D62" s="91"/>
      <c r="E62" s="91"/>
      <c r="F62" s="91"/>
      <c r="G62" s="75"/>
      <c r="H62" s="92"/>
      <c r="I62" s="1"/>
    </row>
    <row r="63" spans="1:9" x14ac:dyDescent="0.25">
      <c r="A63" s="1"/>
      <c r="B63" s="87" t="s">
        <v>205</v>
      </c>
      <c r="C63" s="88"/>
      <c r="D63" s="88"/>
      <c r="E63" s="88"/>
      <c r="F63" s="89"/>
      <c r="G63" s="70">
        <f>(G58-G59)*(1+'Fane 15. Nøgletal'!C15)</f>
        <v>33960253.739162408</v>
      </c>
      <c r="H63" s="14" t="s">
        <v>3</v>
      </c>
      <c r="I63" s="1"/>
    </row>
    <row r="64" spans="1:9" x14ac:dyDescent="0.25">
      <c r="A64" s="1"/>
      <c r="B64" s="87" t="s">
        <v>206</v>
      </c>
      <c r="C64" s="88"/>
      <c r="D64" s="88"/>
      <c r="E64" s="88"/>
      <c r="F64" s="89"/>
      <c r="G64" s="70">
        <f>(G63)*'Fane 15. Nøgletal'!C31</f>
        <v>679205.07478324813</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lETBXJt95J0RXSlXjtuNCZeov2TIouQewy6ERV/R69fvVLt5GDt/HtLdJt4ecD5+KSp923dsr3pFh6BactKcCg==" saltValue="Qv60zJThj/6BS9XsnwJy2w==" spinCount="100000" sheet="1" objects="1" scenarios="1"/>
  <mergeCells count="37">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4:F54"/>
    <mergeCell ref="B48:F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topLeftCell="A45" zoomScale="87" zoomScaleNormal="100" zoomScalePageLayoutView="87" workbookViewId="0"/>
  </sheetViews>
  <sheetFormatPr defaultColWidth="9" defaultRowHeight="15" x14ac:dyDescent="0.25"/>
  <cols>
    <col min="1" max="1" width="1.85546875" style="2" customWidth="1"/>
    <col min="2" max="5" width="9" style="2"/>
    <col min="6" max="6" width="30.85546875" style="2" customWidth="1"/>
    <col min="7" max="7" width="11" style="2" customWidth="1"/>
    <col min="8" max="8" width="3.5703125" style="2" customWidth="1"/>
    <col min="9" max="9" width="1.710937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4" t="s">
        <v>168</v>
      </c>
      <c r="C6" s="145"/>
      <c r="D6" s="145"/>
      <c r="E6" s="145"/>
      <c r="F6" s="146"/>
      <c r="G6" s="70">
        <v>70397788.210642904</v>
      </c>
      <c r="H6" s="14" t="s">
        <v>3</v>
      </c>
      <c r="I6" s="1"/>
    </row>
    <row r="7" spans="1:9" x14ac:dyDescent="0.25">
      <c r="A7" s="1"/>
      <c r="B7" s="144" t="s">
        <v>163</v>
      </c>
      <c r="C7" s="145"/>
      <c r="D7" s="145"/>
      <c r="E7" s="145"/>
      <c r="F7" s="146"/>
      <c r="G7" s="70">
        <f>G6*'Fane 15. Nøgletal'!C20</f>
        <v>640619.87271685048</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4" t="s">
        <v>169</v>
      </c>
      <c r="C11" s="145"/>
      <c r="D11" s="145"/>
      <c r="E11" s="145"/>
      <c r="F11" s="146"/>
      <c r="G11" s="70">
        <f>(G6-G7)*(1+'Fane 15. Nøgletal'!C10)</f>
        <v>70977918.783839777</v>
      </c>
      <c r="H11" s="14" t="s">
        <v>3</v>
      </c>
      <c r="I11" s="1"/>
    </row>
    <row r="12" spans="1:9" x14ac:dyDescent="0.25">
      <c r="A12" s="1"/>
      <c r="B12" s="144" t="s">
        <v>111</v>
      </c>
      <c r="C12" s="145"/>
      <c r="D12" s="145"/>
      <c r="E12" s="145"/>
      <c r="F12" s="146"/>
      <c r="G12" s="70">
        <v>81827.297401121745</v>
      </c>
      <c r="H12" s="14" t="s">
        <v>3</v>
      </c>
      <c r="I12" s="1"/>
    </row>
    <row r="13" spans="1:9" x14ac:dyDescent="0.25">
      <c r="A13" s="1"/>
      <c r="B13" s="156" t="s">
        <v>170</v>
      </c>
      <c r="C13" s="154"/>
      <c r="D13" s="154"/>
      <c r="E13" s="154"/>
      <c r="F13" s="155"/>
      <c r="G13" s="70">
        <v>0</v>
      </c>
      <c r="H13" s="14" t="s">
        <v>3</v>
      </c>
      <c r="I13" s="1"/>
    </row>
    <row r="14" spans="1:9" x14ac:dyDescent="0.25">
      <c r="A14" s="1"/>
      <c r="B14" s="144" t="s">
        <v>56</v>
      </c>
      <c r="C14" s="145"/>
      <c r="D14" s="145"/>
      <c r="E14" s="145"/>
      <c r="F14" s="146"/>
      <c r="G14" s="70">
        <f>SUM(G11:G13)*'Fane 15. Nøgletal'!C21</f>
        <v>1257757.5056379638</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4" t="s">
        <v>58</v>
      </c>
      <c r="C18" s="145"/>
      <c r="D18" s="145"/>
      <c r="E18" s="145"/>
      <c r="F18" s="146"/>
      <c r="G18" s="70">
        <f>(G11+G12+G13-G14)*(1+'Fane 15. Nøgletal'!C10)</f>
        <v>71023523.375675991</v>
      </c>
      <c r="H18" s="14" t="s">
        <v>3</v>
      </c>
      <c r="I18" s="1"/>
    </row>
    <row r="19" spans="1:9" x14ac:dyDescent="0.25">
      <c r="A19" s="1"/>
      <c r="B19" s="156" t="s">
        <v>59</v>
      </c>
      <c r="C19" s="154"/>
      <c r="D19" s="154"/>
      <c r="E19" s="154"/>
      <c r="F19" s="155"/>
      <c r="G19" s="70">
        <v>2139470.6231166278</v>
      </c>
      <c r="H19" s="14" t="s">
        <v>3</v>
      </c>
      <c r="I19" s="1"/>
    </row>
    <row r="20" spans="1:9" x14ac:dyDescent="0.25">
      <c r="A20" s="1"/>
      <c r="B20" s="144" t="s">
        <v>60</v>
      </c>
      <c r="C20" s="145"/>
      <c r="D20" s="145"/>
      <c r="E20" s="145"/>
      <c r="F20" s="146"/>
      <c r="G20" s="70">
        <f>G18*'Fane 15. Nøgletal'!C21+G19*'Fane 15. Nøgletal'!C22</f>
        <v>1275729.7581705796</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4" t="s">
        <v>61</v>
      </c>
      <c r="C24" s="145"/>
      <c r="D24" s="145"/>
      <c r="E24" s="145"/>
      <c r="F24" s="146"/>
      <c r="G24" s="70">
        <f>G18*(1-'Fane 15. Nøgletal'!C21)*(1+'Fane 15. Nøgletal'!C10)+G19*(1-'Fane 15. Nøgletal'!C22)*(1+'Fane 15. Nøgletal'!C11)</f>
        <v>73144018.850495711</v>
      </c>
      <c r="H24" s="14" t="s">
        <v>3</v>
      </c>
      <c r="I24" s="1"/>
    </row>
    <row r="25" spans="1:9" x14ac:dyDescent="0.25">
      <c r="A25" s="1"/>
      <c r="B25" s="147" t="s">
        <v>171</v>
      </c>
      <c r="C25" s="154"/>
      <c r="D25" s="154"/>
      <c r="E25" s="154"/>
      <c r="F25" s="155"/>
      <c r="G25" s="70">
        <f>G19*(1-'Fane 15. Nøgletal'!C22)*(1+'Fane 15. Nøgletal'!C11)</f>
        <v>2156699.7158604674</v>
      </c>
      <c r="H25" s="14" t="s">
        <v>3</v>
      </c>
      <c r="I25" s="1"/>
    </row>
    <row r="26" spans="1:9" x14ac:dyDescent="0.25">
      <c r="A26" s="1"/>
      <c r="B26" s="156" t="s">
        <v>62</v>
      </c>
      <c r="C26" s="154"/>
      <c r="D26" s="154"/>
      <c r="E26" s="154"/>
      <c r="F26" s="155"/>
      <c r="G26" s="70">
        <v>1186996.1650928766</v>
      </c>
      <c r="H26" s="14" t="s">
        <v>3</v>
      </c>
      <c r="I26" s="1"/>
    </row>
    <row r="27" spans="1:9" x14ac:dyDescent="0.25">
      <c r="A27" s="1"/>
      <c r="B27" s="144" t="s">
        <v>63</v>
      </c>
      <c r="C27" s="145"/>
      <c r="D27" s="145"/>
      <c r="E27" s="145"/>
      <c r="F27" s="146"/>
      <c r="G27" s="70">
        <f>(G24-G25)*'Fane 15. Nøgletal'!C22+G25*'Fane 15. Nøgletal'!C23+G26*'Fane 15. Nøgletal'!C24</f>
        <v>711482.34294181794</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4" t="s">
        <v>65</v>
      </c>
      <c r="C31" s="145"/>
      <c r="D31" s="145"/>
      <c r="E31" s="145"/>
      <c r="F31" s="146"/>
      <c r="G31" s="70">
        <f>(G24-G25)*(1-'Fane 15. Nøgletal'!C21)*(1+'Fane 15. Nøgletal'!C10)+G25*(1-'Fane 15. Nøgletal'!C22)*(1+'Fane 15. Nøgletal'!C11)+G26*(1-'Fane 15. Nøgletal'!C23)*(1+'Fane 15. Nøgletal'!C12)</f>
        <v>74301206.100519791</v>
      </c>
      <c r="H31" s="14" t="s">
        <v>3</v>
      </c>
      <c r="I31" s="1"/>
    </row>
    <row r="32" spans="1:9" x14ac:dyDescent="0.25">
      <c r="A32" s="1"/>
      <c r="B32" s="147" t="s">
        <v>172</v>
      </c>
      <c r="C32" s="154"/>
      <c r="D32" s="154"/>
      <c r="E32" s="154"/>
      <c r="F32" s="155"/>
      <c r="G32" s="70">
        <f>G25*(1-'Fane 15. Nøgletal'!C22)*(1+'Fane 15. Nøgletal'!C11)</f>
        <v>2174067.5539712999</v>
      </c>
      <c r="H32" s="14" t="s">
        <v>3</v>
      </c>
      <c r="I32" s="1"/>
    </row>
    <row r="33" spans="1:9" x14ac:dyDescent="0.25">
      <c r="A33" s="1"/>
      <c r="B33" s="147" t="s">
        <v>106</v>
      </c>
      <c r="C33" s="154"/>
      <c r="D33" s="154"/>
      <c r="E33" s="154"/>
      <c r="F33" s="155"/>
      <c r="G33" s="70">
        <f>G26*(1-'Fane 15. Nøgletal'!C23)*(1+'Fane 15. Nøgletal'!C12)</f>
        <v>1176005.1978421228</v>
      </c>
      <c r="H33" s="14" t="s">
        <v>3</v>
      </c>
      <c r="I33" s="1"/>
    </row>
    <row r="34" spans="1:9" x14ac:dyDescent="0.25">
      <c r="A34" s="1"/>
      <c r="B34" s="144" t="s">
        <v>127</v>
      </c>
      <c r="C34" s="145"/>
      <c r="D34" s="145"/>
      <c r="E34" s="145"/>
      <c r="F34" s="146"/>
      <c r="G34" s="70">
        <v>8680410.1320904791</v>
      </c>
      <c r="H34" s="14" t="s">
        <v>3</v>
      </c>
      <c r="I34" s="1"/>
    </row>
    <row r="35" spans="1:9" x14ac:dyDescent="0.25">
      <c r="A35" s="1"/>
      <c r="B35" s="144" t="s">
        <v>66</v>
      </c>
      <c r="C35" s="145"/>
      <c r="D35" s="145"/>
      <c r="E35" s="145"/>
      <c r="F35" s="146"/>
      <c r="G35" s="70">
        <f>(G31-SUM(G32:G33))*'Fane 15. Nøgletal'!C21+G32*'Fane 15. Nøgletal'!C22+G33*'Fane 15. Nøgletal'!C23+G34*'Fane 15. Nøgletal'!C24</f>
        <v>1546859.2742428575</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4" t="s">
        <v>173</v>
      </c>
      <c r="C39" s="145"/>
      <c r="D39" s="145"/>
      <c r="E39" s="145"/>
      <c r="F39" s="146"/>
      <c r="G39" s="70">
        <f>(SUM(G31,G34)-G35)*(1+'Fane 15. Nøgletal'!C14)</f>
        <v>81703491.656330019</v>
      </c>
      <c r="H39" s="14" t="s">
        <v>3</v>
      </c>
      <c r="I39" s="1"/>
    </row>
    <row r="40" spans="1:9" x14ac:dyDescent="0.25">
      <c r="A40" s="1"/>
      <c r="B40" s="144" t="s">
        <v>141</v>
      </c>
      <c r="C40" s="145"/>
      <c r="D40" s="145"/>
      <c r="E40" s="145"/>
      <c r="F40" s="146"/>
      <c r="G40" s="70">
        <v>0</v>
      </c>
      <c r="H40" s="14" t="s">
        <v>3</v>
      </c>
      <c r="I40" s="1"/>
    </row>
    <row r="41" spans="1:9" x14ac:dyDescent="0.25">
      <c r="A41" s="1"/>
      <c r="B41" s="144" t="s">
        <v>142</v>
      </c>
      <c r="C41" s="145"/>
      <c r="D41" s="145"/>
      <c r="E41" s="145"/>
      <c r="F41" s="146"/>
      <c r="G41" s="70">
        <f>(G39+G40)*'Fane 15. Nøgletal'!C25</f>
        <v>1209211.6765136844</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239</v>
      </c>
      <c r="C44" s="151"/>
      <c r="D44" s="151"/>
      <c r="E44" s="151"/>
      <c r="F44" s="151"/>
      <c r="G44" s="152"/>
      <c r="H44" s="153"/>
      <c r="I44" s="1"/>
    </row>
    <row r="45" spans="1:9" x14ac:dyDescent="0.25">
      <c r="A45" s="1"/>
      <c r="B45" s="144" t="s">
        <v>67</v>
      </c>
      <c r="C45" s="145"/>
      <c r="D45" s="145"/>
      <c r="E45" s="145"/>
      <c r="F45" s="146"/>
      <c r="G45" s="70">
        <f>(G39+G40-G41)*(1+'Fane 15. Nøgletal'!C14)</f>
        <v>80759911.103749737</v>
      </c>
      <c r="H45" s="14" t="s">
        <v>3</v>
      </c>
      <c r="I45" s="1"/>
    </row>
    <row r="46" spans="1:9" x14ac:dyDescent="0.25">
      <c r="A46" s="1"/>
      <c r="B46" s="147" t="s">
        <v>243</v>
      </c>
      <c r="C46" s="148"/>
      <c r="D46" s="148"/>
      <c r="E46" s="148"/>
      <c r="F46" s="149"/>
      <c r="G46" s="73">
        <f>(SUM('Fane 2.1. Økonomisk ramme 2023'!C13,'Fane 2.1. Økonomisk ramme 2023'!C15,'Fane 2.1. Økonomisk ramme 2023'!C17))*(1+'Fane 15. Nøgletal'!C15)</f>
        <v>924099.00801552017</v>
      </c>
      <c r="H46" s="14" t="s">
        <v>3</v>
      </c>
      <c r="I46" s="1"/>
    </row>
    <row r="47" spans="1:9" x14ac:dyDescent="0.25">
      <c r="A47" s="1"/>
      <c r="B47" s="144" t="s">
        <v>177</v>
      </c>
      <c r="C47" s="145"/>
      <c r="D47" s="145"/>
      <c r="E47" s="145"/>
      <c r="F47" s="146"/>
      <c r="G47" s="70">
        <f>G45*'Fane 15. Nøgletal'!C25+G46*'Fane 15. Nøgletal'!C26</f>
        <v>1195246.6843354963</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4" t="s">
        <v>129</v>
      </c>
      <c r="C51" s="145"/>
      <c r="D51" s="145"/>
      <c r="E51" s="145"/>
      <c r="F51" s="146"/>
      <c r="G51" s="70">
        <f>(G45+G46-G47)*(1+'Fane 15. Nøgletal'!C15)</f>
        <v>83354163.405446261</v>
      </c>
      <c r="H51" s="14" t="s">
        <v>3</v>
      </c>
      <c r="I51" s="1"/>
    </row>
    <row r="52" spans="1:9" x14ac:dyDescent="0.25">
      <c r="A52" s="1"/>
      <c r="B52" s="144" t="s">
        <v>130</v>
      </c>
      <c r="C52" s="145"/>
      <c r="D52" s="145"/>
      <c r="E52" s="145"/>
      <c r="F52" s="146"/>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4" t="s">
        <v>129</v>
      </c>
      <c r="C56" s="145"/>
      <c r="D56" s="145"/>
      <c r="E56" s="145"/>
      <c r="F56" s="146"/>
      <c r="G56" s="70">
        <f>(G51-G52)*(1+'Fane 15. Nøgletal'!C15)</f>
        <v>86321571.622680157</v>
      </c>
      <c r="H56" s="14" t="s">
        <v>3</v>
      </c>
      <c r="I56" s="1"/>
    </row>
    <row r="57" spans="1:9" x14ac:dyDescent="0.25">
      <c r="A57" s="1"/>
      <c r="B57" s="144" t="s">
        <v>174</v>
      </c>
      <c r="C57" s="145"/>
      <c r="D57" s="145"/>
      <c r="E57" s="145"/>
      <c r="F57" s="146"/>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207</v>
      </c>
      <c r="C60" s="151"/>
      <c r="D60" s="151"/>
      <c r="E60" s="151"/>
      <c r="F60" s="151"/>
      <c r="G60" s="152"/>
      <c r="H60" s="153"/>
      <c r="I60" s="1"/>
    </row>
    <row r="61" spans="1:9" x14ac:dyDescent="0.25">
      <c r="A61" s="1"/>
      <c r="B61" s="144" t="s">
        <v>208</v>
      </c>
      <c r="C61" s="145"/>
      <c r="D61" s="145"/>
      <c r="E61" s="145"/>
      <c r="F61" s="146"/>
      <c r="G61" s="70">
        <f>(G56-G57)*(1+'Fane 15. Nøgletal'!C15)</f>
        <v>89394619.572447583</v>
      </c>
      <c r="H61" s="14" t="s">
        <v>3</v>
      </c>
      <c r="I61" s="1"/>
    </row>
    <row r="62" spans="1:9" x14ac:dyDescent="0.25">
      <c r="A62" s="1"/>
      <c r="B62" s="144" t="s">
        <v>209</v>
      </c>
      <c r="C62" s="145"/>
      <c r="D62" s="145"/>
      <c r="E62" s="145"/>
      <c r="F62" s="146"/>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tfpDTdYrnStS6VLPiisBSY+Mie+IQBtUcP4s7+IyqfxDH7TPt2R9Fn6EreBdKf9u1db/4l2aYz1DPiEbqrhc3A==" saltValue="Mbv3wF2g8EVe20Z/tDmHzQ==" spinCount="100000" sheet="1" objects="1" scenarios="1"/>
  <mergeCells count="41">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55:H55"/>
    <mergeCell ref="B45:F45"/>
    <mergeCell ref="B56:F56"/>
    <mergeCell ref="B57:F57"/>
    <mergeCell ref="B46:F46"/>
    <mergeCell ref="B51:F51"/>
    <mergeCell ref="B52:F52"/>
    <mergeCell ref="B50:H50"/>
    <mergeCell ref="B47:F47"/>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6"/>
  <sheetViews>
    <sheetView showGridLines="0" view="pageLayout" topLeftCell="A5" zoomScale="85" zoomScaleNormal="100" zoomScalePageLayoutView="85" workbookViewId="0">
      <selection activeCell="D20" sqref="D20"/>
    </sheetView>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4" t="s">
        <v>143</v>
      </c>
      <c r="C9" s="145"/>
      <c r="D9" s="145"/>
      <c r="E9" s="145"/>
      <c r="F9" s="146"/>
      <c r="G9" s="98">
        <v>1.5606894697251643E-2</v>
      </c>
      <c r="H9" s="1"/>
    </row>
    <row r="10" spans="1:8" x14ac:dyDescent="0.25">
      <c r="A10" s="1"/>
      <c r="B10" s="32"/>
      <c r="C10" s="33"/>
      <c r="D10" s="33"/>
      <c r="E10" s="33"/>
      <c r="F10" s="33"/>
      <c r="G10" s="20"/>
      <c r="H10" s="1"/>
    </row>
    <row r="11" spans="1:8" ht="25.5" customHeight="1" x14ac:dyDescent="0.25">
      <c r="A11" s="1"/>
      <c r="B11" s="158" t="s">
        <v>241</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sheetData>
  <sheetProtection algorithmName="SHA-512" hashValue="h+dlQ7alVjF7+6fBcyiVxsL/pyjJywf2ixjGQzV3QTSES1wqRKZBzEgae927ZNETERsKXBVQdJapastDvsVGbQ==" saltValue="73Fo/LdWaED32HbkioG3Qw=="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2022-12-01T08:41:19Z</dcterms:modified>
</cp:coreProperties>
</file>