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kanderborg Spildevand AS (S08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39" l="1"/>
  <c r="C12" i="39"/>
  <c r="E16" i="40" l="1"/>
  <c r="E12" i="40"/>
  <c r="G26" i="30"/>
  <c r="E25" i="32" l="1"/>
  <c r="E30" i="32" s="1"/>
  <c r="E32" i="32" s="1"/>
  <c r="C26" i="15" l="1"/>
  <c r="C32" i="2"/>
  <c r="C15" i="19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 l="1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7" i="36" l="1"/>
  <c r="C9" i="22"/>
  <c r="C10" i="23"/>
  <c r="C10" i="22"/>
  <c r="C10" i="15"/>
  <c r="C9" i="23"/>
  <c r="C11" i="15"/>
  <c r="E36" i="39"/>
  <c r="C36" i="39"/>
  <c r="E28" i="39"/>
  <c r="C28" i="39"/>
  <c r="E20" i="39"/>
  <c r="C20" i="39"/>
  <c r="E14" i="39"/>
  <c r="E13" i="39" l="1"/>
  <c r="C22" i="39"/>
  <c r="C21" i="39"/>
  <c r="C38" i="39"/>
  <c r="C37" i="39"/>
  <c r="E22" i="39"/>
  <c r="E21" i="39"/>
  <c r="E38" i="39"/>
  <c r="E37" i="39"/>
  <c r="C14" i="39"/>
  <c r="C13" i="39"/>
  <c r="C30" i="39"/>
  <c r="C29" i="39"/>
  <c r="E30" i="39"/>
  <c r="E29" i="39"/>
  <c r="C31" i="39" l="1"/>
  <c r="C21" i="22" s="1"/>
  <c r="C39" i="39"/>
  <c r="C21" i="23" s="1"/>
  <c r="C23" i="39"/>
  <c r="C22" i="15" s="1"/>
  <c r="E23" i="39"/>
  <c r="C23" i="15" s="1"/>
  <c r="E31" i="39"/>
  <c r="C22" i="22" s="1"/>
  <c r="E39" i="39"/>
  <c r="C22" i="23" s="1"/>
  <c r="E15" i="39"/>
  <c r="C27" i="2" s="1"/>
  <c r="C15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11" i="11" l="1"/>
  <c r="C10" i="37" s="1"/>
  <c r="C15" i="37" s="1"/>
  <c r="C16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5" i="37" s="1"/>
  <c r="E16" i="37" s="1"/>
  <c r="C11" i="2" s="1"/>
  <c r="G40" i="36" s="1"/>
  <c r="G40" i="30"/>
  <c r="G42" i="30" s="1"/>
  <c r="G46" i="30" s="1"/>
  <c r="G49" i="30" s="1"/>
  <c r="E22" i="27"/>
  <c r="E24" i="27" s="1"/>
  <c r="G41" i="36" l="1"/>
  <c r="C19" i="2" s="1"/>
  <c r="G46" i="36"/>
  <c r="C18" i="2"/>
  <c r="E35" i="27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<sst xmlns="http://schemas.openxmlformats.org/spreadsheetml/2006/main" count="729" uniqueCount="293">
  <si>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</si>
  <si>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</si>
  <si>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</si>
  <si>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</si>
  <si>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</si>
  <si>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</si>
  <si>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</si>
  <si>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</si>
  <si>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</si>
  <si>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</si>
  <si>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</si>
  <si>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</si>
  <si>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</si>
  <si>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</si>
  <si>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</si>
  <si>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</si>
  <si>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</si>
  <si>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</si>
  <si>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</si>
  <si>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</si>
  <si>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</si>
  <si>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</si>
  <si>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</si>
  <si>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</si>
  <si>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</si>
  <si>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</si>
  <si>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</si>
  <si>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</si>
  <si>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</si>
  <si>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</si>
  <si>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</si>
  <si>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</si>
  <si>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</si>
  <si>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</si>
  <si>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</si>
  <si>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</si>
  <si>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</si>
  <si>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</si>
  <si>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</si>
  <si>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</si>
  <si>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</si>
  <si>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</si>
  <si>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</si>
  <si>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</si>
  <si>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</si>
  <si>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</si>
  <si>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</si>
  <si>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</si>
  <si>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</si>
  <si>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</si>
  <si>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</si>
  <si>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</si>
  <si>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</si>
  <si>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</si>
  <si>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</si>
  <si>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</si>
  <si>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</si>
  <si>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</si>
  <si>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</si>
  <si>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</si>
  <si>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</si>
  <si>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</si>
  <si>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</si>
  <si>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</si>
  <si>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</si>
  <si>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</si>
  <si>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</si>
  <si>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</si>
  <si>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</si>
  <si>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</si>
  <si>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</si>
  <si>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</si>
  <si>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</si>
  <si>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</si>
  <si>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</si>
  <si>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</si>
  <si>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</si>
  <si>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</si>
  <si>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</si>
  <si>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</si>
  <si>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</si>
  <si>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</si>
  <si>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</si>
  <si>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</si>
  <si>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</si>
  <si>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</si>
  <si>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</si>
  <si>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</si>
  <si>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</si>
  <si>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</si>
  <si>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</si>
  <si>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</si>
  <si>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</si>
  <si>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</si>
  <si>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</si>
  <si>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</si>
  <si>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</si>
  <si>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</si>
  <si>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</si>
  <si>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</si>
  <si>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</si>
  <si>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</si>
  <si>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</si>
  <si>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</si>
  <si>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</si>
  <si>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</si>
  <si>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</si>
  <si>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</si>
  <si>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</si>
  <si>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</si>
  <si>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</si>
  <si>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</si>
  <si>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</si>
  <si>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</si>
  <si>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</si>
  <si>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</si>
  <si>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</si>
  <si>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</si>
  <si>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</si>
  <si>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</si>
  <si>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</si>
  <si>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</si>
  <si>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</si>
  <si>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</si>
  <si>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</si>
  <si>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</si>
  <si>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</si>
  <si>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</si>
  <si>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</si>
  <si>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</si>
  <si>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</si>
  <si>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</si>
  <si>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</si>
  <si>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</si>
  <si>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</si>
  <si>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</si>
  <si>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</si>
  <si>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</si>
  <si>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</si>
  <si>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</si>
  <si>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</si>
  <si>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</si>
  <si>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</si>
  <si>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</si>
  <si>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</si>
  <si>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</si>
  <si>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</si>
  <si>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</si>
  <si>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</si>
  <si>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</si>
  <si>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</si>
  <si>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</si>
  <si>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</si>
  <si>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</si>
  <si>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</si>
  <si>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</si>
  <si>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</si>
  <si>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</si>
  <si>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</si>
  <si>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</si>
  <si>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</si>
  <si>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</si>
  <si>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</si>
  <si>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</si>
  <si>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</si>
  <si>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</si>
  <si>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</si>
  <si>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</si>
  <si>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</si>
  <si>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</si>
  <si>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</si>
  <si>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</si>
  <si>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</si>
  <si>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</si>
  <si>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</si>
  <si>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</si>
  <si>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</si>
  <si>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</si>
  <si>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</si>
  <si>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</si>
  <si>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</si>
  <si>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</si>
  <si>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</si>
  <si>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</si>
  <si>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</si>
  <si>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</si>
  <si>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</si>
  <si>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</si>
  <si>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</si>
  <si>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</si>
  <si>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</si>
  <si>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</si>
  <si>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</si>
  <si>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</si>
  <si>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</si>
  <si>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</si>
  <si>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</si>
  <si>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</si>
  <si>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</si>
  <si>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</si>
  <si>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</si>
  <si>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</si>
  <si>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</si>
  <si>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</si>
  <si>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</si>
  <si>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</si>
  <si>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</si>
  <si>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</si>
  <si>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</si>
  <si>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</si>
  <si>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</si>
  <si>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</si>
  <si>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</si>
  <si>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</si>
  <si>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</si>
  <si>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</si>
  <si>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</si>
  <si>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</si>
  <si>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</si>
  <si>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</si>
  <si>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</si>
  <si>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</si>
  <si>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</si>
  <si>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</si>
  <si>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</si>
  <si>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</si>
  <si>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</si>
  <si>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</si>
  <si>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</si>
  <si>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</si>
  <si>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</si>
  <si>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</si>
  <si>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</si>
  <si>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</si>
  <si>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</si>
  <si>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</si>
  <si>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</si>
  <si>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</si>
  <si>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</si>
  <si>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</si>
  <si>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</si>
  <si>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</si>
  <si>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</si>
  <si>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</si>
  <si>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</si>
  <si>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</si>
  <si>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</si>
  <si>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</si>
  <si>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</si>
  <si>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</si>
  <si>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</si>
  <si>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</si>
  <si>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</si>
  <si>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</si>
  <si>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</si>
  <si>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</si>
  <si>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</si>
  <si>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</si>
  <si>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</si>
  <si>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</si>
  <si>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</si>
  <si>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</si>
  <si>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</si>
  <si>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</si>
  <si>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</si>
  <si>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</si>
  <si>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Flytning af ledninger</t>
  </si>
  <si>
    <t>Byggemodninger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</si>
  <si>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</si>
  <si>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</si>
  <si>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</si>
  <si>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</si>
  <si>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</si>
  <si>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</si>
  <si>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Separatkloakering, miljømål og Sorte Sø</t>
  </si>
  <si>
    <t>Miljømål overløb og fejlkoblinger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</si>
  <si>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</si>
  <si>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</si>
  <si>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</si>
  <si>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</si>
  <si>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</si>
  <si>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</si>
  <si>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</si>
  <si>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</si>
  <si>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</si>
  <si>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</si>
  <si>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</si>
  <si>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</si>
  <si>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</si>
  <si>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Ingen engangstillæg</t>
  </si>
  <si>
    <t>Ingen anlægsprojekter</t>
  </si>
  <si>
    <t>Kontrol med overholdelse af den økonomiske ramme</t>
  </si>
  <si>
    <t>Oprensning af bassiner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</si>
</sst>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1" fontId="8" fillId="8" borderId="1" xfId="1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77" t="s">
        <v>174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175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176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136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177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132</v>
      </c>
      <c r="D17" s="78" t="s">
        <v>178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110</v>
      </c>
      <c r="D18" s="81" t="s">
        <v>94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111</v>
      </c>
      <c r="D19" s="81" t="s">
        <v>95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112</v>
      </c>
      <c r="D21" s="69" t="s">
        <v>13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75</v>
      </c>
      <c r="D22" s="72" t="s">
        <v>179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180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9</v>
      </c>
      <c r="D24" s="72" t="s">
        <v>39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113</v>
      </c>
      <c r="D25" s="72" t="s">
        <v>76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114</v>
      </c>
      <c r="D26" s="72" t="s">
        <v>77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115</v>
      </c>
      <c r="D27" s="72" t="s">
        <v>78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16</v>
      </c>
      <c r="D28" s="72" t="s">
        <v>135</v>
      </c>
      <c r="E28" s="73"/>
      <c r="F28" s="73"/>
      <c r="G28" s="74"/>
      <c r="H28" s="1"/>
      <c r="I28" s="1"/>
    </row>
    <row r="29" spans="1:9" x14ac:dyDescent="0.25">
      <c r="A29" s="1"/>
      <c r="B29" s="1"/>
      <c r="C29" s="6" t="s">
        <v>41</v>
      </c>
      <c r="D29" s="72" t="s">
        <v>40</v>
      </c>
      <c r="E29" s="73"/>
      <c r="F29" s="73"/>
      <c r="G29" s="74"/>
      <c r="H29" s="1"/>
      <c r="I29" s="1"/>
    </row>
    <row r="30" spans="1:9" x14ac:dyDescent="0.25">
      <c r="A30" s="1"/>
      <c r="B30" s="1"/>
      <c r="C30" s="6" t="s">
        <v>42</v>
      </c>
      <c r="D30" s="66" t="s">
        <v>108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ELMKzvo80DLyKMqUjLGAZgCXefrIAjPy/nqwHR33DNVUbIQZnarZeeUbRtEELJcVvzVmU/Zw9/EADZWJpvisg==" saltValue="2yXlWPPsA2javRS7rhTDe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4" t="s">
        <v>119</v>
      </c>
      <c r="C3" s="84"/>
      <c r="D3" s="84"/>
      <c r="E3" s="1"/>
      <c r="F3" s="1"/>
    </row>
    <row r="4" spans="1:6" ht="15" customHeight="1" x14ac:dyDescent="0.25">
      <c r="A4" s="1"/>
      <c r="B4" s="84"/>
      <c r="C4" s="84"/>
      <c r="D4" s="8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8" t="s">
        <v>197</v>
      </c>
      <c r="C8" s="109"/>
      <c r="D8" s="110"/>
      <c r="E8" s="1"/>
      <c r="F8" s="1"/>
    </row>
    <row r="9" spans="1:6" ht="15" customHeight="1" x14ac:dyDescent="0.25">
      <c r="A9" s="1"/>
      <c r="B9" s="49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61" t="s">
        <v>269</v>
      </c>
      <c r="C10" s="9">
        <v>1055399</v>
      </c>
      <c r="D10" s="14" t="s">
        <v>3</v>
      </c>
      <c r="E10" s="1"/>
      <c r="F10" s="1"/>
    </row>
    <row r="11" spans="1:6" ht="15" customHeight="1" x14ac:dyDescent="0.25">
      <c r="A11" s="1"/>
      <c r="B11" s="61" t="s">
        <v>270</v>
      </c>
      <c r="C11" s="9">
        <v>87392</v>
      </c>
      <c r="D11" s="14" t="s">
        <v>3</v>
      </c>
      <c r="E11" s="1"/>
      <c r="F11" s="1"/>
    </row>
    <row r="12" spans="1:6" x14ac:dyDescent="0.25">
      <c r="A12" s="1"/>
      <c r="B12" s="61" t="s">
        <v>271</v>
      </c>
      <c r="C12" s="9">
        <v>1905476</v>
      </c>
      <c r="D12" s="14" t="s">
        <v>3</v>
      </c>
      <c r="E12" s="1"/>
      <c r="F12" s="1"/>
    </row>
    <row r="13" spans="1:6" x14ac:dyDescent="0.25">
      <c r="A13" s="1"/>
      <c r="B13" s="61" t="s">
        <v>272</v>
      </c>
      <c r="C13" s="9">
        <v>441215</v>
      </c>
      <c r="D13" s="14" t="s">
        <v>3</v>
      </c>
      <c r="E13" s="1"/>
      <c r="F13" s="1"/>
    </row>
    <row r="14" spans="1:6" x14ac:dyDescent="0.25">
      <c r="A14" s="1"/>
      <c r="B14" s="61" t="s">
        <v>273</v>
      </c>
      <c r="C14" s="9">
        <v>96145</v>
      </c>
      <c r="D14" s="14" t="s">
        <v>3</v>
      </c>
      <c r="E14" s="1"/>
      <c r="F14" s="1"/>
    </row>
    <row r="15" spans="1:6" x14ac:dyDescent="0.25">
      <c r="A15" s="1"/>
      <c r="B15" s="36" t="s">
        <v>199</v>
      </c>
      <c r="C15" s="12">
        <f>SUM(C10:C14)</f>
        <v>3585627</v>
      </c>
      <c r="D15" s="13" t="s">
        <v>3</v>
      </c>
      <c r="E15" s="1"/>
      <c r="F15" s="1"/>
    </row>
    <row r="16" spans="1:6" x14ac:dyDescent="0.25">
      <c r="A16" s="1"/>
      <c r="B16" s="36" t="s">
        <v>200</v>
      </c>
      <c r="C16" s="12">
        <f>C15*(1+'Fane 14. Nøgletal'!C14)^2</f>
        <v>3609331.1856780304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08" t="s">
        <v>128</v>
      </c>
      <c r="C19" s="109"/>
      <c r="D19" s="110"/>
      <c r="E19" s="1"/>
      <c r="F19" s="1"/>
    </row>
    <row r="20" spans="1:6" x14ac:dyDescent="0.25">
      <c r="A20" s="1"/>
      <c r="B20" s="61" t="s">
        <v>100</v>
      </c>
      <c r="C20" s="9">
        <v>2106226</v>
      </c>
      <c r="D20" s="14" t="s">
        <v>3</v>
      </c>
      <c r="E20" s="1"/>
      <c r="F20" s="1"/>
    </row>
    <row r="21" spans="1:6" x14ac:dyDescent="0.25">
      <c r="A21" s="1"/>
      <c r="B21" s="61" t="s">
        <v>101</v>
      </c>
      <c r="C21" s="9">
        <v>2106226</v>
      </c>
      <c r="D21" s="14" t="s">
        <v>3</v>
      </c>
      <c r="E21" s="1"/>
      <c r="F21" s="1"/>
    </row>
    <row r="22" spans="1:6" x14ac:dyDescent="0.25">
      <c r="A22" s="1"/>
      <c r="B22" s="61" t="s">
        <v>141</v>
      </c>
      <c r="C22" s="9">
        <v>2106226</v>
      </c>
      <c r="D22" s="14" t="s">
        <v>3</v>
      </c>
      <c r="E22" s="1"/>
      <c r="F22" s="1"/>
    </row>
    <row r="23" spans="1:6" x14ac:dyDescent="0.25">
      <c r="A23" s="1"/>
      <c r="B23" s="61" t="s">
        <v>201</v>
      </c>
      <c r="C23" s="9">
        <v>2106226</v>
      </c>
      <c r="D23" s="14" t="s">
        <v>3</v>
      </c>
      <c r="E23" s="1"/>
      <c r="F23" s="1"/>
    </row>
    <row r="24" spans="1:6" x14ac:dyDescent="0.25">
      <c r="A24" s="1"/>
      <c r="B24" s="108"/>
      <c r="C24" s="109"/>
      <c r="D24" s="110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08" t="s">
        <v>99</v>
      </c>
      <c r="C27" s="109"/>
      <c r="D27" s="110"/>
      <c r="E27" s="1"/>
      <c r="F27" s="1"/>
    </row>
    <row r="28" spans="1:6" x14ac:dyDescent="0.25">
      <c r="A28" s="1"/>
      <c r="B28" s="61" t="s">
        <v>100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1" t="s">
        <v>101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1" t="s">
        <v>141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1" t="s">
        <v>201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08"/>
      <c r="C32" s="109"/>
      <c r="D32" s="110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+lt+/IVkHfldRN4DJVg6urix8oiO6z0+Rhcg+lkdjl7nExvG4wqNsjcb1W3C9UCF1cz1rz3k6UKB0q3Q1X4ERg==" saltValue="ssQnMUahV9MoFaGB9HziA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202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8" t="s">
        <v>277</v>
      </c>
      <c r="C8" s="109"/>
      <c r="D8" s="109"/>
      <c r="E8" s="109"/>
      <c r="F8" s="110"/>
      <c r="G8" s="1"/>
    </row>
    <row r="9" spans="1:7" x14ac:dyDescent="0.25">
      <c r="A9" s="1"/>
      <c r="B9" s="111" t="s">
        <v>278</v>
      </c>
      <c r="C9" s="112"/>
      <c r="D9" s="113"/>
      <c r="E9" s="9">
        <v>13283870.862050399</v>
      </c>
      <c r="F9" s="14" t="s">
        <v>3</v>
      </c>
      <c r="G9" s="1"/>
    </row>
    <row r="10" spans="1:7" x14ac:dyDescent="0.25">
      <c r="A10" s="1"/>
      <c r="B10" s="111" t="s">
        <v>279</v>
      </c>
      <c r="C10" s="112"/>
      <c r="D10" s="113"/>
      <c r="E10" s="9">
        <v>11825809.415104136</v>
      </c>
      <c r="F10" s="14" t="s">
        <v>3</v>
      </c>
      <c r="G10" s="1"/>
    </row>
    <row r="11" spans="1:7" x14ac:dyDescent="0.25">
      <c r="A11" s="1"/>
      <c r="B11" s="111" t="s">
        <v>280</v>
      </c>
      <c r="C11" s="112"/>
      <c r="D11" s="113"/>
      <c r="E11" s="9">
        <v>10994021.984090418</v>
      </c>
      <c r="F11" s="14" t="s">
        <v>3</v>
      </c>
      <c r="G11" s="1"/>
    </row>
    <row r="12" spans="1:7" x14ac:dyDescent="0.25">
      <c r="A12" s="1"/>
      <c r="B12" s="36"/>
      <c r="C12" s="37"/>
      <c r="D12" s="37"/>
      <c r="E12" s="37"/>
      <c r="F12" s="20"/>
      <c r="G12" s="1"/>
    </row>
    <row r="13" spans="1:7" ht="52.5" customHeight="1" x14ac:dyDescent="0.25">
      <c r="A13" s="1"/>
      <c r="B13" s="86" t="s">
        <v>281</v>
      </c>
      <c r="C13" s="87"/>
      <c r="D13" s="87"/>
      <c r="E13" s="87"/>
      <c r="F13" s="88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8" t="s">
        <v>282</v>
      </c>
      <c r="C15" s="109"/>
      <c r="D15" s="109"/>
      <c r="E15" s="109"/>
      <c r="F15" s="110"/>
      <c r="G15" s="1"/>
    </row>
    <row r="16" spans="1:7" x14ac:dyDescent="0.25">
      <c r="A16" s="1"/>
      <c r="B16" s="111" t="s">
        <v>283</v>
      </c>
      <c r="C16" s="112"/>
      <c r="D16" s="113"/>
      <c r="E16" s="9">
        <v>0</v>
      </c>
      <c r="F16" s="14" t="s">
        <v>3</v>
      </c>
      <c r="G16" s="1"/>
    </row>
    <row r="17" spans="1:7" x14ac:dyDescent="0.25">
      <c r="A17" s="1"/>
      <c r="B17" s="111" t="s">
        <v>284</v>
      </c>
      <c r="C17" s="112"/>
      <c r="D17" s="113"/>
      <c r="E17" s="9">
        <v>0</v>
      </c>
      <c r="F17" s="14" t="s">
        <v>3</v>
      </c>
      <c r="G17" s="1"/>
    </row>
    <row r="18" spans="1:7" x14ac:dyDescent="0.25">
      <c r="A18" s="1"/>
      <c r="B18" s="36"/>
      <c r="C18" s="37"/>
      <c r="D18" s="37"/>
      <c r="E18" s="37"/>
      <c r="F18" s="20"/>
      <c r="G18" s="1"/>
    </row>
    <row r="19" spans="1:7" ht="31.5" customHeight="1" x14ac:dyDescent="0.25">
      <c r="A19" s="1"/>
      <c r="B19" s="86" t="s">
        <v>285</v>
      </c>
      <c r="C19" s="87"/>
      <c r="D19" s="87"/>
      <c r="E19" s="87"/>
      <c r="F19" s="88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8" t="s">
        <v>240</v>
      </c>
      <c r="C21" s="59"/>
      <c r="D21" s="59"/>
      <c r="E21" s="59"/>
      <c r="F21" s="60"/>
      <c r="G21" s="1"/>
    </row>
    <row r="22" spans="1:7" x14ac:dyDescent="0.25">
      <c r="A22" s="1"/>
      <c r="B22" s="55" t="s">
        <v>241</v>
      </c>
      <c r="C22" s="56"/>
      <c r="D22" s="57"/>
      <c r="E22" s="9">
        <v>102533900.23764886</v>
      </c>
      <c r="F22" s="14" t="s">
        <v>3</v>
      </c>
      <c r="G22" s="1"/>
    </row>
    <row r="23" spans="1:7" x14ac:dyDescent="0.25">
      <c r="A23" s="1"/>
      <c r="B23" s="55" t="s">
        <v>242</v>
      </c>
      <c r="C23" s="56"/>
      <c r="D23" s="57"/>
      <c r="E23" s="9">
        <v>106065731</v>
      </c>
      <c r="F23" s="14" t="s">
        <v>3</v>
      </c>
      <c r="G23" s="1"/>
    </row>
    <row r="24" spans="1:7" x14ac:dyDescent="0.2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7" x14ac:dyDescent="0.25">
      <c r="A25" s="1"/>
      <c r="B25" s="52" t="s">
        <v>286</v>
      </c>
      <c r="C25" s="53"/>
      <c r="D25" s="54"/>
      <c r="E25" s="39">
        <f>E22-(E23-E24)</f>
        <v>-3531830.7623511404</v>
      </c>
      <c r="F25" s="17" t="s">
        <v>3</v>
      </c>
      <c r="G25" s="1"/>
    </row>
    <row r="26" spans="1:7" x14ac:dyDescent="0.25">
      <c r="A26" s="1"/>
      <c r="B26" s="36"/>
      <c r="C26" s="37"/>
      <c r="D26" s="37"/>
      <c r="E26" s="37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8" t="s">
        <v>169</v>
      </c>
      <c r="C29" s="109"/>
      <c r="D29" s="109"/>
      <c r="E29" s="109"/>
      <c r="F29" s="110"/>
      <c r="G29" s="1"/>
    </row>
    <row r="30" spans="1:7" x14ac:dyDescent="0.25">
      <c r="A30" s="1"/>
      <c r="B30" s="125" t="s">
        <v>170</v>
      </c>
      <c r="C30" s="126"/>
      <c r="D30" s="127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25">
      <c r="A31" s="1"/>
      <c r="B31" s="125" t="s">
        <v>104</v>
      </c>
      <c r="C31" s="126"/>
      <c r="D31" s="127"/>
      <c r="E31" s="9">
        <v>2</v>
      </c>
      <c r="F31" s="14" t="s">
        <v>21</v>
      </c>
      <c r="G31" s="1"/>
    </row>
    <row r="32" spans="1:7" x14ac:dyDescent="0.25">
      <c r="A32" s="1"/>
      <c r="B32" s="128" t="s">
        <v>172</v>
      </c>
      <c r="C32" s="128"/>
      <c r="D32" s="128"/>
      <c r="E32" s="10">
        <f>E30/E31</f>
        <v>0</v>
      </c>
      <c r="F32" s="17" t="s">
        <v>3</v>
      </c>
      <c r="G32" s="1"/>
    </row>
    <row r="33" spans="1:7" x14ac:dyDescent="0.25">
      <c r="A33" s="1"/>
      <c r="B33" s="122"/>
      <c r="C33" s="123"/>
      <c r="D33" s="123"/>
      <c r="E33" s="123"/>
      <c r="F33" s="124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poOQU74EU7AngLmVFV5p6z0+s2ycy/MzfEeZ8DB0rT3x09KJ6zuFHDFfYnSVnSjBOAIpCbUfepoILYdS5cwEg==" saltValue="IHh2+TzA5GpeJ1MsJWCHkw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203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8" t="s">
        <v>204</v>
      </c>
      <c r="C9" s="109"/>
      <c r="D9" s="109"/>
      <c r="E9" s="109"/>
      <c r="F9" s="109"/>
      <c r="G9" s="1"/>
    </row>
    <row r="10" spans="1:7" x14ac:dyDescent="0.25">
      <c r="A10" s="1"/>
      <c r="B10" s="86" t="s">
        <v>102</v>
      </c>
      <c r="C10" s="87"/>
      <c r="D10" s="88"/>
      <c r="E10" s="7">
        <v>0</v>
      </c>
      <c r="F10" s="8" t="s">
        <v>3</v>
      </c>
      <c r="G10" s="1"/>
    </row>
    <row r="11" spans="1:7" x14ac:dyDescent="0.25">
      <c r="A11" s="1"/>
      <c r="B11" s="111" t="s">
        <v>205</v>
      </c>
      <c r="C11" s="112"/>
      <c r="D11" s="113"/>
      <c r="E11" s="7">
        <v>0</v>
      </c>
      <c r="F11" s="8" t="s">
        <v>3</v>
      </c>
      <c r="G11" s="1"/>
    </row>
    <row r="12" spans="1:7" x14ac:dyDescent="0.25">
      <c r="A12" s="1"/>
      <c r="B12" s="98" t="s">
        <v>103</v>
      </c>
      <c r="C12" s="99"/>
      <c r="D12" s="100"/>
      <c r="E12" s="10">
        <f>E11-E10</f>
        <v>0</v>
      </c>
      <c r="F12" s="11" t="s">
        <v>3</v>
      </c>
      <c r="G12" s="1"/>
    </row>
    <row r="13" spans="1:7" x14ac:dyDescent="0.25">
      <c r="A13" s="1"/>
      <c r="B13" s="108" t="s">
        <v>93</v>
      </c>
      <c r="C13" s="109"/>
      <c r="D13" s="109"/>
      <c r="E13" s="109"/>
      <c r="F13" s="109"/>
      <c r="G13" s="1"/>
    </row>
    <row r="14" spans="1:7" x14ac:dyDescent="0.25">
      <c r="A14" s="1"/>
      <c r="B14" s="111" t="s">
        <v>206</v>
      </c>
      <c r="C14" s="112"/>
      <c r="D14" s="113"/>
      <c r="E14" s="9">
        <v>2106226</v>
      </c>
      <c r="F14" s="8" t="s">
        <v>3</v>
      </c>
      <c r="G14" s="1"/>
    </row>
    <row r="15" spans="1:7" x14ac:dyDescent="0.25">
      <c r="A15" s="1"/>
      <c r="B15" s="86" t="s">
        <v>207</v>
      </c>
      <c r="C15" s="87"/>
      <c r="D15" s="88"/>
      <c r="E15" s="9">
        <v>1620106</v>
      </c>
      <c r="F15" s="8" t="s">
        <v>3</v>
      </c>
      <c r="G15" s="1"/>
    </row>
    <row r="16" spans="1:7" x14ac:dyDescent="0.25">
      <c r="A16" s="1"/>
      <c r="B16" s="98" t="s">
        <v>103</v>
      </c>
      <c r="C16" s="99"/>
      <c r="D16" s="100"/>
      <c r="E16" s="10">
        <f>E15-E14</f>
        <v>-486120</v>
      </c>
      <c r="F16" s="11" t="s">
        <v>3</v>
      </c>
      <c r="G16" s="1"/>
    </row>
    <row r="17" spans="1:7" ht="15" customHeight="1" x14ac:dyDescent="0.25">
      <c r="A17" s="1"/>
      <c r="B17" s="36" t="s">
        <v>208</v>
      </c>
      <c r="C17" s="37"/>
      <c r="D17" s="37"/>
      <c r="E17" s="12">
        <f>E12+E16</f>
        <v>-486120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mW69jq0xChVlvJWcgXLNZun6qCWNy/W3MfnTM/jWgHAKAZQvCMzCbJb1hiff/GGgflxT0X9PcGlv/EYk1TwEQ==" saltValue="NnNWKWfl83zlaULGa4zs1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155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8" t="s">
        <v>156</v>
      </c>
      <c r="C8" s="109"/>
      <c r="D8" s="109"/>
      <c r="E8" s="109"/>
      <c r="F8" s="109"/>
      <c r="G8" s="109"/>
      <c r="H8" s="11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5"/>
      <c r="I9" s="1"/>
    </row>
    <row r="10" spans="1:9" x14ac:dyDescent="0.25">
      <c r="A10" s="1"/>
      <c r="B10" s="63" t="s">
        <v>290</v>
      </c>
      <c r="C10" s="4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8" t="s">
        <v>157</v>
      </c>
      <c r="C11" s="109"/>
      <c r="D11" s="11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PkJRL1Y/LJlBNLBZIgeL/NCo8Yf4Qpfqhx55G5zlJPigcv34AuIN1X/RJTyL3/nRxt9C71zoec3EU94m0YO4g==" saltValue="su2hqTC4Bzc69D/qqBVSZ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118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25">
      <c r="A9" s="1"/>
      <c r="B9" s="47" t="s">
        <v>18</v>
      </c>
      <c r="C9" s="47" t="s">
        <v>12</v>
      </c>
      <c r="D9" s="48"/>
      <c r="E9" s="47" t="s">
        <v>34</v>
      </c>
      <c r="F9" s="65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274</v>
      </c>
      <c r="C11" s="22">
        <v>23625</v>
      </c>
      <c r="D11" s="14" t="s">
        <v>3</v>
      </c>
      <c r="E11" s="9">
        <v>1928386</v>
      </c>
      <c r="F11" s="14" t="s">
        <v>3</v>
      </c>
      <c r="G11" s="1"/>
    </row>
    <row r="12" spans="1:7" x14ac:dyDescent="0.25">
      <c r="A12" s="1"/>
      <c r="B12" s="41" t="s">
        <v>266</v>
      </c>
      <c r="C12" s="22">
        <v>0</v>
      </c>
      <c r="D12" s="14" t="s">
        <v>3</v>
      </c>
      <c r="E12" s="9">
        <v>139811</v>
      </c>
      <c r="F12" s="14" t="s">
        <v>3</v>
      </c>
      <c r="G12" s="1"/>
    </row>
    <row r="13" spans="1:7" x14ac:dyDescent="0.25">
      <c r="A13" s="1"/>
      <c r="B13" s="41" t="s">
        <v>267</v>
      </c>
      <c r="C13" s="22">
        <v>883679</v>
      </c>
      <c r="D13" s="14" t="s">
        <v>3</v>
      </c>
      <c r="E13" s="9">
        <v>711728</v>
      </c>
      <c r="F13" s="14" t="s">
        <v>3</v>
      </c>
      <c r="G13" s="1"/>
    </row>
    <row r="14" spans="1:7" x14ac:dyDescent="0.25">
      <c r="A14" s="1"/>
      <c r="B14" s="25" t="s">
        <v>292</v>
      </c>
      <c r="C14" s="22">
        <v>171967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36" t="s">
        <v>142</v>
      </c>
      <c r="C15" s="12">
        <f>SUM(C10:C14)</f>
        <v>1079271</v>
      </c>
      <c r="D15" s="13" t="s">
        <v>3</v>
      </c>
      <c r="E15" s="12">
        <f>SUM(E10:E14)</f>
        <v>2779925</v>
      </c>
      <c r="F15" s="13" t="s">
        <v>3</v>
      </c>
      <c r="G15" s="1"/>
    </row>
    <row r="16" spans="1:7" x14ac:dyDescent="0.25">
      <c r="A16" s="1"/>
      <c r="B16" s="36" t="s">
        <v>209</v>
      </c>
      <c r="C16" s="12">
        <f>C15*(1+'Fane 14. Nøgletal'!C14)</f>
        <v>1082832.5943</v>
      </c>
      <c r="D16" s="13" t="s">
        <v>3</v>
      </c>
      <c r="E16" s="12">
        <f>E15*(1+'Fane 14. Nøgletal'!C14)</f>
        <v>2789098.7525000004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2P370WOkjgKgFOC8wLW0dt5la08tcH47yTshQIyjQKjY7fSwKoUDFVZJTvJqMAr906gCogdK/PM1EhamxRAnlw==" saltValue="q3U8Mo7zgi2sEv32dvCm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117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8" t="s">
        <v>96</v>
      </c>
      <c r="C8" s="109"/>
      <c r="D8" s="109"/>
      <c r="E8" s="109"/>
      <c r="F8" s="110"/>
      <c r="G8" s="1"/>
    </row>
    <row r="9" spans="1:7" x14ac:dyDescent="0.25">
      <c r="A9" s="1"/>
      <c r="B9" s="47" t="s">
        <v>18</v>
      </c>
      <c r="C9" s="47" t="s">
        <v>12</v>
      </c>
      <c r="D9" s="48"/>
      <c r="E9" s="47" t="s">
        <v>34</v>
      </c>
      <c r="F9" s="65"/>
      <c r="G9" s="1"/>
    </row>
    <row r="10" spans="1:7" x14ac:dyDescent="0.25">
      <c r="A10" s="1"/>
      <c r="B10" s="25" t="s">
        <v>275</v>
      </c>
      <c r="C10" s="22">
        <v>507635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25" t="s">
        <v>292</v>
      </c>
      <c r="C11" s="22">
        <v>1719674</v>
      </c>
      <c r="D11" s="14" t="s">
        <v>3</v>
      </c>
      <c r="E11" s="22">
        <v>0</v>
      </c>
      <c r="F11" s="14" t="s">
        <v>3</v>
      </c>
      <c r="G11" s="1"/>
    </row>
    <row r="12" spans="1:7" x14ac:dyDescent="0.25">
      <c r="A12" s="1"/>
      <c r="B12" s="36" t="s">
        <v>210</v>
      </c>
      <c r="C12" s="12">
        <f>SUM(C10:C11)</f>
        <v>2227309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7" t="s">
        <v>10</v>
      </c>
      <c r="C13" s="28">
        <f>-C12*'Fane 5. Individuelt eff. krav'!G11</f>
        <v>-44546.18</v>
      </c>
      <c r="D13" s="29" t="s">
        <v>3</v>
      </c>
      <c r="E13" s="28">
        <f>-E12*'Fane 5. Individuelt eff. krav'!G11</f>
        <v>0</v>
      </c>
      <c r="F13" s="29" t="s">
        <v>3</v>
      </c>
      <c r="G13" s="1"/>
    </row>
    <row r="14" spans="1:7" x14ac:dyDescent="0.25">
      <c r="A14" s="1"/>
      <c r="B14" s="27" t="s">
        <v>98</v>
      </c>
      <c r="C14" s="28">
        <f>-C12*'Fane 14. Nøgletal'!C29</f>
        <v>-44546.18</v>
      </c>
      <c r="D14" s="29" t="s">
        <v>3</v>
      </c>
      <c r="E14" s="28">
        <f>-E12*'Fane 14. Nøgletal'!C24</f>
        <v>0</v>
      </c>
      <c r="F14" s="29" t="s">
        <v>3</v>
      </c>
      <c r="G14" s="1"/>
    </row>
    <row r="15" spans="1:7" x14ac:dyDescent="0.25">
      <c r="A15" s="1"/>
      <c r="B15" s="36" t="s">
        <v>143</v>
      </c>
      <c r="C15" s="12">
        <f>SUM(C12:C14)*(1+'Fane 14. Nøgletal'!C14)^2</f>
        <v>2152352.1550032096</v>
      </c>
      <c r="D15" s="13" t="s">
        <v>3</v>
      </c>
      <c r="E15" s="12">
        <f>SUM(E12:E14)*(1+'Fane 14. Nøgletal'!C14)^2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8" t="s">
        <v>97</v>
      </c>
      <c r="C17" s="109"/>
      <c r="D17" s="109"/>
      <c r="E17" s="109"/>
      <c r="F17" s="110"/>
      <c r="G17" s="1"/>
    </row>
    <row r="18" spans="1:7" x14ac:dyDescent="0.25">
      <c r="A18" s="1"/>
      <c r="B18" s="47" t="s">
        <v>18</v>
      </c>
      <c r="C18" s="47" t="s">
        <v>12</v>
      </c>
      <c r="D18" s="48"/>
      <c r="E18" s="47" t="s">
        <v>34</v>
      </c>
      <c r="F18" s="65"/>
      <c r="G18" s="1"/>
    </row>
    <row r="19" spans="1:7" x14ac:dyDescent="0.25">
      <c r="A19" s="1"/>
      <c r="B19" s="25" t="s">
        <v>289</v>
      </c>
      <c r="C19" s="22">
        <v>0</v>
      </c>
      <c r="D19" s="14" t="s">
        <v>3</v>
      </c>
      <c r="E19" s="22">
        <v>0</v>
      </c>
      <c r="F19" s="14" t="s">
        <v>3</v>
      </c>
      <c r="G19" s="1"/>
    </row>
    <row r="20" spans="1:7" x14ac:dyDescent="0.25">
      <c r="A20" s="1"/>
      <c r="B20" s="36" t="s">
        <v>210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7" t="s">
        <v>10</v>
      </c>
      <c r="C21" s="28">
        <f>-C20*'Fane 5. Individuelt eff. krav'!G11</f>
        <v>0</v>
      </c>
      <c r="D21" s="29" t="s">
        <v>3</v>
      </c>
      <c r="E21" s="28">
        <f>-E20*'Fane 5. Individuelt eff. krav'!G11</f>
        <v>0</v>
      </c>
      <c r="F21" s="29" t="s">
        <v>3</v>
      </c>
      <c r="G21" s="1"/>
    </row>
    <row r="22" spans="1:7" x14ac:dyDescent="0.25">
      <c r="A22" s="1"/>
      <c r="B22" s="27" t="s">
        <v>98</v>
      </c>
      <c r="C22" s="28">
        <f>-C20*'Fane 14. Nøgletal'!C29</f>
        <v>0</v>
      </c>
      <c r="D22" s="29" t="s">
        <v>3</v>
      </c>
      <c r="E22" s="28">
        <f>-E20*'Fane 14. Nøgletal'!C24</f>
        <v>0</v>
      </c>
      <c r="F22" s="29" t="s">
        <v>3</v>
      </c>
      <c r="G22" s="1"/>
    </row>
    <row r="23" spans="1:7" x14ac:dyDescent="0.25">
      <c r="A23" s="1"/>
      <c r="B23" s="36" t="s">
        <v>211</v>
      </c>
      <c r="C23" s="12">
        <f>SUM(C20:C22)*(1+'Fane 14. Nøgletal'!C14)^3</f>
        <v>0</v>
      </c>
      <c r="D23" s="13" t="s">
        <v>3</v>
      </c>
      <c r="E23" s="12">
        <f>SUM(E20:E22)*(1+'Fane 14. Nøgletal'!C14)^3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8" t="s">
        <v>144</v>
      </c>
      <c r="C25" s="109"/>
      <c r="D25" s="109"/>
      <c r="E25" s="109"/>
      <c r="F25" s="110"/>
      <c r="G25" s="1"/>
    </row>
    <row r="26" spans="1:7" x14ac:dyDescent="0.25">
      <c r="A26" s="1"/>
      <c r="B26" s="47" t="s">
        <v>18</v>
      </c>
      <c r="C26" s="47" t="s">
        <v>12</v>
      </c>
      <c r="D26" s="48"/>
      <c r="E26" s="47" t="s">
        <v>34</v>
      </c>
      <c r="F26" s="65"/>
      <c r="G26" s="1"/>
    </row>
    <row r="27" spans="1:7" x14ac:dyDescent="0.25">
      <c r="A27" s="1"/>
      <c r="B27" s="25" t="s">
        <v>289</v>
      </c>
      <c r="C27" s="22">
        <v>0</v>
      </c>
      <c r="D27" s="14" t="s">
        <v>3</v>
      </c>
      <c r="E27" s="22">
        <v>0</v>
      </c>
      <c r="F27" s="14" t="s">
        <v>3</v>
      </c>
      <c r="G27" s="1"/>
    </row>
    <row r="28" spans="1:7" x14ac:dyDescent="0.25">
      <c r="A28" s="1"/>
      <c r="B28" s="36" t="s">
        <v>210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7" t="s">
        <v>10</v>
      </c>
      <c r="C29" s="28">
        <f>-C28*'Fane 5. Individuelt eff. krav'!G11</f>
        <v>0</v>
      </c>
      <c r="D29" s="29" t="s">
        <v>3</v>
      </c>
      <c r="E29" s="28">
        <f>-E28*'Fane 5. Individuelt eff. krav'!G11</f>
        <v>0</v>
      </c>
      <c r="F29" s="29" t="s">
        <v>3</v>
      </c>
      <c r="G29" s="1"/>
    </row>
    <row r="30" spans="1:7" x14ac:dyDescent="0.25">
      <c r="A30" s="1"/>
      <c r="B30" s="27" t="s">
        <v>98</v>
      </c>
      <c r="C30" s="28">
        <f>-C28*'Fane 14. Nøgletal'!C29</f>
        <v>0</v>
      </c>
      <c r="D30" s="29" t="s">
        <v>3</v>
      </c>
      <c r="E30" s="28">
        <f>-E28*'Fane 14. Nøgletal'!C24</f>
        <v>0</v>
      </c>
      <c r="F30" s="29" t="s">
        <v>3</v>
      </c>
      <c r="G30" s="1"/>
    </row>
    <row r="31" spans="1:7" x14ac:dyDescent="0.25">
      <c r="A31" s="1"/>
      <c r="B31" s="36" t="s">
        <v>213</v>
      </c>
      <c r="C31" s="12">
        <f>SUM(C28:C30)*(1+'Fane 14. Nøgletal'!C14)^4</f>
        <v>0</v>
      </c>
      <c r="D31" s="13" t="s">
        <v>3</v>
      </c>
      <c r="E31" s="12">
        <f>SUM(E28:E30)*(1+'Fane 14. Nøgletal'!C14)^4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08" t="s">
        <v>212</v>
      </c>
      <c r="C33" s="109"/>
      <c r="D33" s="109"/>
      <c r="E33" s="109"/>
      <c r="F33" s="110"/>
      <c r="G33" s="1"/>
    </row>
    <row r="34" spans="1:7" x14ac:dyDescent="0.25">
      <c r="A34" s="1"/>
      <c r="B34" s="47" t="s">
        <v>18</v>
      </c>
      <c r="C34" s="47" t="s">
        <v>12</v>
      </c>
      <c r="D34" s="48"/>
      <c r="E34" s="47" t="s">
        <v>34</v>
      </c>
      <c r="F34" s="65"/>
      <c r="G34" s="1"/>
    </row>
    <row r="35" spans="1:7" x14ac:dyDescent="0.25">
      <c r="A35" s="1"/>
      <c r="B35" s="25" t="s">
        <v>289</v>
      </c>
      <c r="C35" s="22">
        <v>0</v>
      </c>
      <c r="D35" s="14" t="s">
        <v>3</v>
      </c>
      <c r="E35" s="22">
        <v>0</v>
      </c>
      <c r="F35" s="14" t="s">
        <v>3</v>
      </c>
      <c r="G35" s="1"/>
    </row>
    <row r="36" spans="1:7" x14ac:dyDescent="0.25">
      <c r="A36" s="1"/>
      <c r="B36" s="36" t="s">
        <v>210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7" t="s">
        <v>10</v>
      </c>
      <c r="C37" s="28">
        <f>-C36*'Fane 5. Individuelt eff. krav'!G11</f>
        <v>0</v>
      </c>
      <c r="D37" s="29" t="s">
        <v>3</v>
      </c>
      <c r="E37" s="28">
        <f>-E36*'Fane 5. Individuelt eff. krav'!G11</f>
        <v>0</v>
      </c>
      <c r="F37" s="29" t="s">
        <v>3</v>
      </c>
      <c r="G37" s="1"/>
    </row>
    <row r="38" spans="1:7" x14ac:dyDescent="0.25">
      <c r="A38" s="1"/>
      <c r="B38" s="27" t="s">
        <v>98</v>
      </c>
      <c r="C38" s="28">
        <f>-C36*'Fane 14. Nøgletal'!C29</f>
        <v>0</v>
      </c>
      <c r="D38" s="29" t="s">
        <v>3</v>
      </c>
      <c r="E38" s="28">
        <f>-E36*'Fane 14. Nøgletal'!C24</f>
        <v>0</v>
      </c>
      <c r="F38" s="29" t="s">
        <v>3</v>
      </c>
      <c r="G38" s="1"/>
    </row>
    <row r="39" spans="1:7" x14ac:dyDescent="0.25">
      <c r="A39" s="1"/>
      <c r="B39" s="36" t="s">
        <v>214</v>
      </c>
      <c r="C39" s="12">
        <f>SUM(C36:C38)*(1+'Fane 14. Nøgletal'!C14)^5</f>
        <v>0</v>
      </c>
      <c r="D39" s="13" t="s">
        <v>3</v>
      </c>
      <c r="E39" s="12">
        <f>SUM(E36:E38)*(1+'Fane 14. Nøgletal'!C14)^5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7FHio+6vNKwjAb407NCa55AZNhF5UhYVZGoUoCbxTZZX2gu9XD3t5NQX6Y57J4ONoFogeUghchfNEs7RI6rMzQ==" saltValue="Zrp69VLu/m8cKTApveRd1g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127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04"/>
      <c r="C5" s="104"/>
      <c r="D5" s="104"/>
      <c r="E5" s="104"/>
      <c r="F5" s="10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8" t="s">
        <v>87</v>
      </c>
      <c r="C8" s="109"/>
      <c r="D8" s="109"/>
      <c r="E8" s="109"/>
      <c r="F8" s="110"/>
      <c r="G8" s="1"/>
    </row>
    <row r="9" spans="1:7" x14ac:dyDescent="0.25">
      <c r="A9" s="1"/>
      <c r="B9" s="129" t="s">
        <v>215</v>
      </c>
      <c r="C9" s="130"/>
      <c r="D9" s="131"/>
      <c r="E9" s="9">
        <v>0</v>
      </c>
      <c r="F9" s="14" t="s">
        <v>3</v>
      </c>
      <c r="G9" s="1"/>
    </row>
    <row r="10" spans="1:7" x14ac:dyDescent="0.25">
      <c r="A10" s="1"/>
      <c r="B10" s="101" t="s">
        <v>10</v>
      </c>
      <c r="C10" s="102"/>
      <c r="D10" s="103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101" t="s">
        <v>27</v>
      </c>
      <c r="C11" s="102"/>
      <c r="D11" s="103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8" t="s">
        <v>89</v>
      </c>
      <c r="C12" s="109"/>
      <c r="D12" s="11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8" t="s">
        <v>88</v>
      </c>
      <c r="C14" s="109"/>
      <c r="D14" s="109"/>
      <c r="E14" s="109"/>
      <c r="F14" s="110"/>
      <c r="G14" s="1"/>
    </row>
    <row r="15" spans="1:7" x14ac:dyDescent="0.25">
      <c r="A15" s="1"/>
      <c r="B15" s="129" t="s">
        <v>215</v>
      </c>
      <c r="C15" s="130"/>
      <c r="D15" s="131"/>
      <c r="E15" s="9">
        <v>0</v>
      </c>
      <c r="F15" s="14" t="s">
        <v>3</v>
      </c>
      <c r="G15" s="1"/>
    </row>
    <row r="16" spans="1:7" x14ac:dyDescent="0.25">
      <c r="A16" s="1"/>
      <c r="B16" s="101" t="s">
        <v>10</v>
      </c>
      <c r="C16" s="102"/>
      <c r="D16" s="103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101" t="s">
        <v>27</v>
      </c>
      <c r="C17" s="102"/>
      <c r="D17" s="103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8" t="s">
        <v>90</v>
      </c>
      <c r="C18" s="109"/>
      <c r="D18" s="11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8" t="s">
        <v>145</v>
      </c>
      <c r="C20" s="109"/>
      <c r="D20" s="109"/>
      <c r="E20" s="109"/>
      <c r="F20" s="110"/>
      <c r="G20" s="1"/>
    </row>
    <row r="21" spans="1:7" x14ac:dyDescent="0.25">
      <c r="A21" s="1"/>
      <c r="B21" s="129" t="s">
        <v>215</v>
      </c>
      <c r="C21" s="130"/>
      <c r="D21" s="131"/>
      <c r="E21" s="9">
        <v>0</v>
      </c>
      <c r="F21" s="14" t="s">
        <v>3</v>
      </c>
      <c r="G21" s="1"/>
    </row>
    <row r="22" spans="1:7" x14ac:dyDescent="0.25">
      <c r="A22" s="1"/>
      <c r="B22" s="101" t="s">
        <v>10</v>
      </c>
      <c r="C22" s="102"/>
      <c r="D22" s="103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101" t="s">
        <v>27</v>
      </c>
      <c r="C23" s="102"/>
      <c r="D23" s="103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8" t="s">
        <v>146</v>
      </c>
      <c r="C24" s="109"/>
      <c r="D24" s="11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8" t="s">
        <v>216</v>
      </c>
      <c r="C26" s="109"/>
      <c r="D26" s="109"/>
      <c r="E26" s="109"/>
      <c r="F26" s="110"/>
      <c r="G26" s="1"/>
    </row>
    <row r="27" spans="1:7" x14ac:dyDescent="0.25">
      <c r="A27" s="1"/>
      <c r="B27" s="129" t="s">
        <v>215</v>
      </c>
      <c r="C27" s="130"/>
      <c r="D27" s="131"/>
      <c r="E27" s="9">
        <v>0</v>
      </c>
      <c r="F27" s="14" t="s">
        <v>3</v>
      </c>
      <c r="G27" s="1"/>
    </row>
    <row r="28" spans="1:7" x14ac:dyDescent="0.25">
      <c r="A28" s="1"/>
      <c r="B28" s="101" t="s">
        <v>10</v>
      </c>
      <c r="C28" s="102"/>
      <c r="D28" s="103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101" t="s">
        <v>27</v>
      </c>
      <c r="C29" s="102"/>
      <c r="D29" s="103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8" t="s">
        <v>217</v>
      </c>
      <c r="C30" s="109"/>
      <c r="D30" s="11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H8PmFvHXCd7YSKZVd2wSsTDQP+eN3LmflF2OhzIwu3M3gAH8I7bp8W6SmDEdbfrNxzsq6QsrKYfSaAjPpXO9A==" saltValue="Ad5p+59glNpEyK6qe7H4fg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147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8" t="s">
        <v>148</v>
      </c>
      <c r="C8" s="109"/>
      <c r="D8" s="109"/>
      <c r="E8" s="109"/>
      <c r="F8" s="110"/>
      <c r="G8" s="1"/>
    </row>
    <row r="9" spans="1:7" ht="15" customHeight="1" x14ac:dyDescent="0.25">
      <c r="A9" s="1"/>
      <c r="B9" s="64" t="s">
        <v>149</v>
      </c>
      <c r="C9" s="89" t="s">
        <v>12</v>
      </c>
      <c r="D9" s="91"/>
      <c r="E9" s="132" t="s">
        <v>34</v>
      </c>
      <c r="F9" s="133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4sksmlBVhKikLShaf/aJRnTH17qo+ObJhMt9bAIHFc8MV4YgO6GxHmCIsFfemD5n544ItM0xMPcNI97gPQo4sA==" saltValue="W0SdBilATSZbK+8yEMFUc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116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8" t="s">
        <v>91</v>
      </c>
      <c r="C8" s="109"/>
      <c r="D8" s="109"/>
      <c r="E8" s="109"/>
      <c r="F8" s="110"/>
      <c r="G8" s="1"/>
    </row>
    <row r="9" spans="1:7" ht="15" customHeight="1" x14ac:dyDescent="0.25">
      <c r="A9" s="1"/>
      <c r="B9" s="64" t="s">
        <v>19</v>
      </c>
      <c r="C9" s="64" t="s">
        <v>12</v>
      </c>
      <c r="D9" s="65"/>
      <c r="E9" s="64" t="s">
        <v>34</v>
      </c>
      <c r="F9" s="65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6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6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8" t="s">
        <v>92</v>
      </c>
      <c r="C14" s="109"/>
      <c r="D14" s="109"/>
      <c r="E14" s="109"/>
      <c r="F14" s="110"/>
      <c r="G14" s="1"/>
    </row>
    <row r="15" spans="1:7" ht="26.25" x14ac:dyDescent="0.25">
      <c r="A15" s="1"/>
      <c r="B15" s="64" t="s">
        <v>19</v>
      </c>
      <c r="C15" s="64" t="s">
        <v>12</v>
      </c>
      <c r="D15" s="65"/>
      <c r="E15" s="64" t="s">
        <v>34</v>
      </c>
      <c r="F15" s="65"/>
      <c r="G15" s="1"/>
    </row>
    <row r="16" spans="1:7" x14ac:dyDescent="0.25">
      <c r="A16" s="1"/>
      <c r="B16" s="25" t="s">
        <v>276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8" t="s">
        <v>151</v>
      </c>
      <c r="C20" s="109"/>
      <c r="D20" s="109"/>
      <c r="E20" s="109"/>
      <c r="F20" s="110"/>
      <c r="G20" s="1"/>
    </row>
    <row r="21" spans="1:7" ht="26.25" x14ac:dyDescent="0.25">
      <c r="A21" s="1"/>
      <c r="B21" s="64" t="s">
        <v>19</v>
      </c>
      <c r="C21" s="64" t="s">
        <v>12</v>
      </c>
      <c r="D21" s="65"/>
      <c r="E21" s="64" t="s">
        <v>34</v>
      </c>
      <c r="F21" s="65"/>
      <c r="G21" s="1"/>
    </row>
    <row r="22" spans="1:7" x14ac:dyDescent="0.25">
      <c r="A22" s="1"/>
      <c r="B22" s="25" t="s">
        <v>276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8" t="s">
        <v>219</v>
      </c>
      <c r="C26" s="109"/>
      <c r="D26" s="109"/>
      <c r="E26" s="109"/>
      <c r="F26" s="110"/>
      <c r="G26" s="1"/>
    </row>
    <row r="27" spans="1:7" ht="26.25" x14ac:dyDescent="0.25">
      <c r="A27" s="1"/>
      <c r="B27" s="64" t="s">
        <v>19</v>
      </c>
      <c r="C27" s="64" t="s">
        <v>12</v>
      </c>
      <c r="D27" s="65"/>
      <c r="E27" s="64" t="s">
        <v>34</v>
      </c>
      <c r="F27" s="65"/>
      <c r="G27" s="1"/>
    </row>
    <row r="28" spans="1:7" x14ac:dyDescent="0.25">
      <c r="A28" s="1"/>
      <c r="B28" s="25" t="s">
        <v>276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9kzouF3AeCmZ0kNR8MaJyH8B1xA/gaI47Pjf8PvxiFn3BMXGpp2rb2l4sXc70DsCobbJDDjAwG1TFwNS3Jdzw==" saltValue="MNFUdG175oQY7uC+1CIQ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4" t="s">
        <v>173</v>
      </c>
      <c r="C3" s="104"/>
      <c r="D3" s="1"/>
    </row>
    <row r="4" spans="1:4" ht="25.5" customHeight="1" x14ac:dyDescent="0.25">
      <c r="A4" s="1"/>
      <c r="B4" s="104"/>
      <c r="C4" s="10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6" t="s">
        <v>15</v>
      </c>
      <c r="C8" s="20"/>
      <c r="D8" s="1"/>
    </row>
    <row r="9" spans="1:4" x14ac:dyDescent="0.25">
      <c r="A9" s="1"/>
      <c r="B9" s="61" t="s">
        <v>264</v>
      </c>
      <c r="C9" s="26">
        <v>1.2699999999999999E-2</v>
      </c>
      <c r="D9" s="1"/>
    </row>
    <row r="10" spans="1:4" x14ac:dyDescent="0.25">
      <c r="A10" s="1"/>
      <c r="B10" s="61" t="s">
        <v>122</v>
      </c>
      <c r="C10" s="26">
        <v>1.7500000000000002E-2</v>
      </c>
      <c r="D10" s="1"/>
    </row>
    <row r="11" spans="1:4" x14ac:dyDescent="0.25">
      <c r="A11" s="1"/>
      <c r="B11" s="61" t="s">
        <v>24</v>
      </c>
      <c r="C11" s="26">
        <v>1.6899999999999998E-2</v>
      </c>
      <c r="D11" s="1"/>
    </row>
    <row r="12" spans="1:4" x14ac:dyDescent="0.25">
      <c r="A12" s="1"/>
      <c r="B12" s="31" t="s">
        <v>45</v>
      </c>
      <c r="C12" s="26">
        <v>1.9699999999999999E-2</v>
      </c>
      <c r="D12" s="1"/>
    </row>
    <row r="13" spans="1:4" x14ac:dyDescent="0.25">
      <c r="A13" s="1"/>
      <c r="B13" s="31" t="s">
        <v>153</v>
      </c>
      <c r="C13" s="32">
        <v>1.2200000000000001E-2</v>
      </c>
      <c r="D13" s="1"/>
    </row>
    <row r="14" spans="1:4" x14ac:dyDescent="0.25">
      <c r="A14" s="1"/>
      <c r="B14" s="31" t="s">
        <v>288</v>
      </c>
      <c r="C14" s="32">
        <v>3.3E-3</v>
      </c>
      <c r="D14" s="1"/>
    </row>
    <row r="15" spans="1:4" x14ac:dyDescent="0.25">
      <c r="A15" s="1"/>
      <c r="B15" s="36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6" t="s">
        <v>107</v>
      </c>
      <c r="C18" s="20"/>
      <c r="D18" s="1"/>
    </row>
    <row r="19" spans="1:4" x14ac:dyDescent="0.25">
      <c r="A19" s="1"/>
      <c r="B19" s="61" t="s">
        <v>265</v>
      </c>
      <c r="C19" s="23">
        <v>9.1000000000000004E-3</v>
      </c>
      <c r="D19" s="1"/>
    </row>
    <row r="20" spans="1:4" x14ac:dyDescent="0.25">
      <c r="A20" s="1"/>
      <c r="B20" s="61" t="s">
        <v>124</v>
      </c>
      <c r="C20" s="23">
        <v>1.77E-2</v>
      </c>
      <c r="D20" s="1"/>
    </row>
    <row r="21" spans="1:4" x14ac:dyDescent="0.25">
      <c r="A21" s="1"/>
      <c r="B21" s="61" t="s">
        <v>123</v>
      </c>
      <c r="C21" s="23">
        <v>8.6999999999999994E-3</v>
      </c>
      <c r="D21" s="1"/>
    </row>
    <row r="22" spans="1:4" x14ac:dyDescent="0.25">
      <c r="A22" s="1"/>
      <c r="B22" s="61" t="s">
        <v>125</v>
      </c>
      <c r="C22" s="23">
        <v>2.8400000000000002E-2</v>
      </c>
      <c r="D22" s="1"/>
    </row>
    <row r="23" spans="1:4" x14ac:dyDescent="0.25">
      <c r="A23" s="1"/>
      <c r="B23" s="61" t="s">
        <v>154</v>
      </c>
      <c r="C23" s="33">
        <v>2.75E-2</v>
      </c>
      <c r="D23" s="1"/>
    </row>
    <row r="24" spans="1:4" x14ac:dyDescent="0.25">
      <c r="A24" s="1"/>
      <c r="B24" s="61" t="s">
        <v>221</v>
      </c>
      <c r="C24" s="33">
        <v>1.4800000000000001E-2</v>
      </c>
      <c r="D24" s="1"/>
    </row>
    <row r="25" spans="1:4" x14ac:dyDescent="0.25">
      <c r="A25" s="1"/>
      <c r="B25" s="3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6" t="s">
        <v>106</v>
      </c>
      <c r="C28" s="20"/>
      <c r="D28" s="1"/>
    </row>
    <row r="29" spans="1:4" x14ac:dyDescent="0.25">
      <c r="A29" s="1"/>
      <c r="B29" s="61" t="s">
        <v>126</v>
      </c>
      <c r="C29" s="26">
        <v>0.02</v>
      </c>
      <c r="D29" s="1"/>
    </row>
    <row r="30" spans="1:4" x14ac:dyDescent="0.25">
      <c r="A30" s="1"/>
      <c r="B30" s="3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QekhK9bIKSzhA01lC7bqk/4r5odcpO9R6AiXnp4gQSwEviQ3kG0allY5vn1Ojm/x6xIG6L2zrQYOAdHHtDJUNw==" saltValue="Te4O7+tS72v0T2vyNiLUr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181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x14ac:dyDescent="0.25">
      <c r="A9" s="1"/>
      <c r="B9" s="44" t="s">
        <v>26</v>
      </c>
      <c r="C9" s="7">
        <f>'Fane 3. Omkostninger i ØR2021'!E24</f>
        <v>98288560.470885694</v>
      </c>
      <c r="D9" s="8" t="s">
        <v>3</v>
      </c>
      <c r="E9" s="1"/>
    </row>
    <row r="10" spans="1:5" ht="17.100000000000001" customHeight="1" x14ac:dyDescent="0.25">
      <c r="A10" s="1"/>
      <c r="B10" s="46" t="s">
        <v>43</v>
      </c>
      <c r="C10" s="7">
        <f>'Fane 10.1. Varige tillæg'!C16</f>
        <v>1082832.5943</v>
      </c>
      <c r="D10" s="8" t="s">
        <v>3</v>
      </c>
      <c r="E10" s="1"/>
    </row>
    <row r="11" spans="1:5" ht="17.100000000000001" customHeight="1" x14ac:dyDescent="0.25">
      <c r="A11" s="1"/>
      <c r="B11" s="46" t="s">
        <v>44</v>
      </c>
      <c r="C11" s="9">
        <f>'Fane 10.1. Varige tillæg'!E16</f>
        <v>2789098.7525000004</v>
      </c>
      <c r="D11" s="8" t="s">
        <v>3</v>
      </c>
      <c r="E11" s="1"/>
    </row>
    <row r="12" spans="1:5" ht="17.100000000000001" customHeight="1" x14ac:dyDescent="0.25">
      <c r="A12" s="1"/>
      <c r="B12" s="46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6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6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6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6" t="s">
        <v>20</v>
      </c>
      <c r="C16" s="9">
        <f>SUM(C9:C15)*'Fane 14. Nøgletal'!C14</f>
        <v>337129.62299836281</v>
      </c>
      <c r="D16" s="8" t="s">
        <v>3</v>
      </c>
      <c r="E16" s="1"/>
    </row>
    <row r="17" spans="1:5" ht="17.100000000000001" customHeight="1" x14ac:dyDescent="0.25">
      <c r="A17" s="1"/>
      <c r="B17" s="46" t="s">
        <v>10</v>
      </c>
      <c r="C17" s="9">
        <f>-SUM(C9,C10:C16)*'Fane 5. Individuelt eff. krav'!G11</f>
        <v>-2049952.428813681</v>
      </c>
      <c r="D17" s="8" t="s">
        <v>3</v>
      </c>
      <c r="E17" s="1"/>
    </row>
    <row r="18" spans="1:5" ht="17.100000000000001" customHeight="1" x14ac:dyDescent="0.25">
      <c r="A18" s="1"/>
      <c r="B18" s="46" t="s">
        <v>27</v>
      </c>
      <c r="C18" s="9">
        <f>-'Fane 4.1. Gen. krav - drift'!G42</f>
        <v>-579305.74645949586</v>
      </c>
      <c r="D18" s="8" t="s">
        <v>3</v>
      </c>
      <c r="E18" s="1"/>
    </row>
    <row r="19" spans="1:5" ht="15" customHeight="1" x14ac:dyDescent="0.25">
      <c r="A19" s="1"/>
      <c r="B19" s="46" t="s">
        <v>28</v>
      </c>
      <c r="C19" s="9">
        <f>-'Fane 4.2. Gen. krav - anlæg'!G41</f>
        <v>-1089496.0611907309</v>
      </c>
      <c r="D19" s="8" t="s">
        <v>3</v>
      </c>
      <c r="E19" s="1"/>
    </row>
    <row r="20" spans="1:5" ht="15" customHeight="1" x14ac:dyDescent="0.25">
      <c r="A20" s="1"/>
      <c r="B20" s="52" t="s">
        <v>22</v>
      </c>
      <c r="C20" s="10">
        <f>SUM(C9,C10:C19)</f>
        <v>98778867.204220146</v>
      </c>
      <c r="D20" s="11" t="s">
        <v>3</v>
      </c>
      <c r="E20" s="1"/>
    </row>
    <row r="21" spans="1:5" ht="15" customHeight="1" x14ac:dyDescent="0.25">
      <c r="A21" s="1"/>
      <c r="B21" s="36" t="s">
        <v>13</v>
      </c>
      <c r="C21" s="37"/>
      <c r="D21" s="20"/>
      <c r="E21" s="1"/>
    </row>
    <row r="22" spans="1:5" ht="15" customHeight="1" x14ac:dyDescent="0.25">
      <c r="A22" s="1"/>
      <c r="B22" s="64" t="s">
        <v>13</v>
      </c>
      <c r="C22" s="10">
        <f>'Fane 6. Ikke-påvirkelige omk.'!C16+'Fane 6. Ikke-påvirkelige omk.'!C20+'Fane 6. Ikke-påvirkelige omk.'!C28</f>
        <v>5715557.1856780304</v>
      </c>
      <c r="D22" s="11" t="s">
        <v>3</v>
      </c>
      <c r="E22" s="1"/>
    </row>
    <row r="23" spans="1:5" ht="15" customHeight="1" x14ac:dyDescent="0.25">
      <c r="A23" s="1"/>
      <c r="B23" s="36" t="s">
        <v>78</v>
      </c>
      <c r="C23" s="37"/>
      <c r="D23" s="20"/>
      <c r="E23" s="1"/>
    </row>
    <row r="24" spans="1:5" ht="15" customHeight="1" x14ac:dyDescent="0.25">
      <c r="A24" s="1"/>
      <c r="B24" s="52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6" t="s">
        <v>77</v>
      </c>
      <c r="C25" s="37"/>
      <c r="D25" s="20"/>
      <c r="E25" s="1"/>
    </row>
    <row r="26" spans="1:5" x14ac:dyDescent="0.25">
      <c r="A26" s="1"/>
      <c r="B26" s="46" t="s">
        <v>73</v>
      </c>
      <c r="C26" s="9">
        <f>'Fane 10.2. Engangstillæg'!C15</f>
        <v>2152352.1550032096</v>
      </c>
      <c r="D26" s="8" t="s">
        <v>3</v>
      </c>
      <c r="E26" s="1"/>
    </row>
    <row r="27" spans="1:5" ht="15" customHeight="1" x14ac:dyDescent="0.25">
      <c r="A27" s="1"/>
      <c r="B27" s="46" t="s">
        <v>74</v>
      </c>
      <c r="C27" s="9">
        <f>'Fane 10.2. Engangstillæg'!E15</f>
        <v>0</v>
      </c>
      <c r="D27" s="8" t="s">
        <v>3</v>
      </c>
      <c r="E27" s="1"/>
    </row>
    <row r="28" spans="1:5" x14ac:dyDescent="0.25">
      <c r="A28" s="1"/>
      <c r="B28" s="52" t="s">
        <v>79</v>
      </c>
      <c r="C28" s="10">
        <f>SUM(C26:C27)</f>
        <v>2152352.1550032096</v>
      </c>
      <c r="D28" s="11" t="s">
        <v>3</v>
      </c>
      <c r="E28" s="1"/>
    </row>
    <row r="29" spans="1:5" x14ac:dyDescent="0.25">
      <c r="A29" s="1"/>
      <c r="B29" s="36" t="s">
        <v>180</v>
      </c>
      <c r="C29" s="37"/>
      <c r="D29" s="20"/>
      <c r="E29" s="1"/>
    </row>
    <row r="30" spans="1:5" x14ac:dyDescent="0.25">
      <c r="A30" s="1"/>
      <c r="B30" s="64" t="s">
        <v>180</v>
      </c>
      <c r="C30" s="10">
        <f>'Fane 8. Korrektion af ØR2020'!E17</f>
        <v>-486120</v>
      </c>
      <c r="D30" s="11" t="s">
        <v>3</v>
      </c>
      <c r="E30" s="1"/>
    </row>
    <row r="31" spans="1:5" x14ac:dyDescent="0.25">
      <c r="A31" s="1"/>
      <c r="B31" s="36" t="s">
        <v>170</v>
      </c>
      <c r="C31" s="37"/>
      <c r="D31" s="20"/>
      <c r="E31" s="1"/>
    </row>
    <row r="32" spans="1:5" x14ac:dyDescent="0.25">
      <c r="A32" s="1"/>
      <c r="B32" s="64" t="s">
        <v>291</v>
      </c>
      <c r="C32" s="10">
        <f>'Fane 7. Kontrol af ØR2020'!E32</f>
        <v>0</v>
      </c>
      <c r="D32" s="11" t="s">
        <v>3</v>
      </c>
      <c r="E32" s="1"/>
    </row>
    <row r="33" spans="1:5" x14ac:dyDescent="0.25">
      <c r="A33" s="1"/>
      <c r="B33" s="38" t="s">
        <v>262</v>
      </c>
      <c r="C33" s="37"/>
      <c r="D33" s="20"/>
      <c r="E33" s="1"/>
    </row>
    <row r="34" spans="1:5" x14ac:dyDescent="0.25">
      <c r="A34" s="1"/>
      <c r="B34" s="62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6" t="s">
        <v>32</v>
      </c>
      <c r="C35" s="12">
        <f>SUM(C20,C22,C24,C28,C30,C32,C34)</f>
        <v>106160656.54490139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B46" s="1"/>
      <c r="C46" s="1"/>
      <c r="D46" s="1"/>
    </row>
    <row r="47" spans="1:5" x14ac:dyDescent="0.25">
      <c r="B47" s="1"/>
      <c r="C47" s="1"/>
      <c r="D47" s="1"/>
    </row>
  </sheetData>
  <sheetProtection algorithmName="SHA-512" hashValue="XJPYP8i0XyxJfdwodSZsaVjjobSHrxztjMqhHfOWhi0Y8BLDqd//aYDel2dBYwUR6NNGyzaLBALN2rXwRoOBUA==" saltValue="tfgQhB0KishNuuz2Nv7DM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7109375" style="2" customWidth="1"/>
    <col min="3" max="3" width="11.140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182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/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ht="15" customHeight="1" x14ac:dyDescent="0.25">
      <c r="A9" s="1"/>
      <c r="B9" s="44" t="s">
        <v>109</v>
      </c>
      <c r="C9" s="7">
        <f>'Fane 2.1. Økonomisk ramme 2022'!C20</f>
        <v>98778867.204220146</v>
      </c>
      <c r="D9" s="8" t="s">
        <v>3</v>
      </c>
      <c r="E9" s="1"/>
    </row>
    <row r="10" spans="1:5" ht="15" customHeight="1" x14ac:dyDescent="0.25">
      <c r="A10" s="1"/>
      <c r="B10" s="46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5" t="s">
        <v>20</v>
      </c>
      <c r="C12" s="9">
        <f>SUM(C9:C11)*'Fane 14. Nøgletal'!C14</f>
        <v>325970.2617739265</v>
      </c>
      <c r="D12" s="8" t="s">
        <v>3</v>
      </c>
      <c r="E12" s="1"/>
    </row>
    <row r="13" spans="1:5" ht="15" customHeight="1" x14ac:dyDescent="0.25">
      <c r="A13" s="1"/>
      <c r="B13" s="45" t="s">
        <v>10</v>
      </c>
      <c r="C13" s="9">
        <f>-SUM(C9:C12)*'Fane 5. Individuelt eff. krav'!G11</f>
        <v>-1982096.7493198814</v>
      </c>
      <c r="D13" s="8" t="s">
        <v>3</v>
      </c>
      <c r="E13" s="1"/>
    </row>
    <row r="14" spans="1:5" ht="15" customHeight="1" x14ac:dyDescent="0.25">
      <c r="A14" s="1"/>
      <c r="B14" s="45" t="s">
        <v>27</v>
      </c>
      <c r="C14" s="9">
        <f>-'Fane 4.1. Gen. krav - drift'!G49</f>
        <v>-569593.10631435609</v>
      </c>
      <c r="D14" s="8" t="s">
        <v>3</v>
      </c>
      <c r="E14" s="1"/>
    </row>
    <row r="15" spans="1:5" ht="15" customHeight="1" x14ac:dyDescent="0.25">
      <c r="A15" s="1"/>
      <c r="B15" s="45" t="s">
        <v>28</v>
      </c>
      <c r="C15" s="9">
        <f>-'Fane 4.2. Gen. krav - anlæg'!G48</f>
        <v>-1076913.6454994089</v>
      </c>
      <c r="D15" s="8" t="s">
        <v>3</v>
      </c>
      <c r="E15" s="1"/>
    </row>
    <row r="16" spans="1:5" ht="15" customHeight="1" x14ac:dyDescent="0.25">
      <c r="A16" s="1"/>
      <c r="B16" s="49" t="s">
        <v>22</v>
      </c>
      <c r="C16" s="10">
        <f>SUM(C9:C15)</f>
        <v>95476233.964860424</v>
      </c>
      <c r="D16" s="11" t="s">
        <v>3</v>
      </c>
      <c r="E16" s="1"/>
    </row>
    <row r="17" spans="1:5" ht="15" customHeight="1" x14ac:dyDescent="0.25">
      <c r="A17" s="1"/>
      <c r="B17" s="36" t="s">
        <v>13</v>
      </c>
      <c r="C17" s="37"/>
      <c r="D17" s="20"/>
      <c r="E17" s="1"/>
    </row>
    <row r="18" spans="1:5" ht="15" customHeight="1" x14ac:dyDescent="0.25">
      <c r="A18" s="1"/>
      <c r="B18" s="64" t="s">
        <v>13</v>
      </c>
      <c r="C18" s="10">
        <f>'Fane 6. Ikke-påvirkelige omk.'!C16*(1+'Fane 14. Nøgletal'!C14)+'Fane 6. Ikke-påvirkelige omk.'!C21+'Fane 6. Ikke-påvirkelige omk.'!C29</f>
        <v>5727467.9785907678</v>
      </c>
      <c r="D18" s="11" t="s">
        <v>3</v>
      </c>
      <c r="E18" s="1"/>
    </row>
    <row r="19" spans="1:5" ht="15" customHeight="1" x14ac:dyDescent="0.25">
      <c r="A19" s="1"/>
      <c r="B19" s="36" t="s">
        <v>78</v>
      </c>
      <c r="C19" s="37"/>
      <c r="D19" s="20"/>
      <c r="E19" s="1"/>
    </row>
    <row r="20" spans="1:5" ht="15" customHeight="1" x14ac:dyDescent="0.25">
      <c r="A20" s="1"/>
      <c r="B20" s="52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6" t="s">
        <v>77</v>
      </c>
      <c r="C21" s="37"/>
      <c r="D21" s="20"/>
      <c r="E21" s="1"/>
    </row>
    <row r="22" spans="1:5" ht="15" customHeight="1" x14ac:dyDescent="0.25">
      <c r="A22" s="1"/>
      <c r="B22" s="46" t="s">
        <v>73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25">
      <c r="A23" s="1"/>
      <c r="B23" s="46" t="s">
        <v>74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25">
      <c r="A24" s="1"/>
      <c r="B24" s="52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6" t="s">
        <v>171</v>
      </c>
      <c r="C25" s="37"/>
      <c r="D25" s="20"/>
      <c r="E25" s="1"/>
    </row>
    <row r="26" spans="1:5" ht="15" customHeight="1" x14ac:dyDescent="0.25">
      <c r="A26" s="1"/>
      <c r="B26" s="64" t="s">
        <v>291</v>
      </c>
      <c r="C26" s="10">
        <f>'Fane 7. Kontrol af ØR2020'!E32</f>
        <v>0</v>
      </c>
      <c r="D26" s="11" t="s">
        <v>3</v>
      </c>
      <c r="E26" s="1"/>
    </row>
    <row r="27" spans="1:5" x14ac:dyDescent="0.25">
      <c r="A27" s="1"/>
      <c r="B27" s="38" t="s">
        <v>262</v>
      </c>
      <c r="C27" s="37"/>
      <c r="D27" s="20"/>
      <c r="E27" s="1"/>
    </row>
    <row r="28" spans="1:5" x14ac:dyDescent="0.25">
      <c r="A28" s="1"/>
      <c r="B28" s="62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6" t="s">
        <v>86</v>
      </c>
      <c r="C29" s="12">
        <f>SUM(C16,C18,C20,C24,C26,C28)</f>
        <v>101203701.9434512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SIsaFY9tIlfr3bhtebcZCTUYlQ3xnD9IhLRe57oE38v2Jg46GL/bYxSbFBFi2yxUdYckcdfAUt8qNjBivjsDiQ==" saltValue="xnW2SC9KiM4hqkBXZaVd9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="110" zoomScaleNormal="100" zoomScalePageLayoutView="11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183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23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44" t="s">
        <v>139</v>
      </c>
      <c r="C8" s="7">
        <f>'Fane 2.2. Økonomisk ramme 2023'!C16</f>
        <v>95476233.964860424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5" t="s">
        <v>20</v>
      </c>
      <c r="C11" s="9">
        <f>SUM(C8:C10)*'Fane 14. Nøgletal'!C14</f>
        <v>315071.57208403939</v>
      </c>
      <c r="D11" s="8" t="s">
        <v>3</v>
      </c>
      <c r="E11" s="1"/>
    </row>
    <row r="12" spans="1:5" ht="15" customHeight="1" x14ac:dyDescent="0.25">
      <c r="A12" s="1"/>
      <c r="B12" s="45" t="s">
        <v>10</v>
      </c>
      <c r="C12" s="9">
        <f>-SUM(C8:C11)*'Fane 5. Individuelt eff. krav'!G11</f>
        <v>-1915826.1107388893</v>
      </c>
      <c r="D12" s="8" t="s">
        <v>3</v>
      </c>
      <c r="E12" s="1"/>
    </row>
    <row r="13" spans="1:5" ht="15" customHeight="1" x14ac:dyDescent="0.25">
      <c r="A13" s="1"/>
      <c r="B13" s="45" t="s">
        <v>27</v>
      </c>
      <c r="C13" s="9">
        <f>-'Fane 4.1. Gen. krav - drift'!G56</f>
        <v>-560043.30829388951</v>
      </c>
      <c r="D13" s="8" t="s">
        <v>3</v>
      </c>
      <c r="E13" s="1"/>
    </row>
    <row r="14" spans="1:5" ht="15" customHeight="1" x14ac:dyDescent="0.25">
      <c r="A14" s="1"/>
      <c r="B14" s="45" t="s">
        <v>28</v>
      </c>
      <c r="C14" s="9">
        <f>-'Fane 4.2. Gen. krav - anlæg'!G54</f>
        <v>-1064476.5421137195</v>
      </c>
      <c r="D14" s="8" t="s">
        <v>3</v>
      </c>
      <c r="E14" s="1"/>
    </row>
    <row r="15" spans="1:5" x14ac:dyDescent="0.25">
      <c r="A15" s="1"/>
      <c r="B15" s="49" t="s">
        <v>22</v>
      </c>
      <c r="C15" s="10">
        <f>SUM(C8:C14)</f>
        <v>92250959.57579796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4" t="s">
        <v>13</v>
      </c>
      <c r="C17" s="10">
        <f>'Fane 6. Ikke-påvirkelige omk.'!C16*(1+'Fane 14. Nøgletal'!C14)^2+'Fane 6. Ikke-påvirkelige omk.'!C22+'Fane 6. Ikke-påvirkelige omk.'!C30</f>
        <v>5739418.0771201178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52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6" t="s">
        <v>73</v>
      </c>
      <c r="C21" s="9">
        <f>'Fane 10.2. Engangstillæg'!C31</f>
        <v>0</v>
      </c>
      <c r="D21" s="8" t="s">
        <v>3</v>
      </c>
      <c r="E21" s="1"/>
    </row>
    <row r="22" spans="1:5" ht="15" customHeight="1" x14ac:dyDescent="0.25">
      <c r="A22" s="1"/>
      <c r="B22" s="46" t="s">
        <v>74</v>
      </c>
      <c r="C22" s="9">
        <f>'Fane 10.2. Engangstillæg'!E31</f>
        <v>0</v>
      </c>
      <c r="D22" s="8" t="s">
        <v>3</v>
      </c>
      <c r="E22" s="1"/>
    </row>
    <row r="23" spans="1:5" ht="15" customHeight="1" x14ac:dyDescent="0.25">
      <c r="A23" s="1"/>
      <c r="B23" s="52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8" t="s">
        <v>262</v>
      </c>
      <c r="C24" s="37"/>
      <c r="D24" s="20"/>
      <c r="E24" s="1"/>
    </row>
    <row r="25" spans="1:5" x14ac:dyDescent="0.25">
      <c r="A25" s="1"/>
      <c r="B25" s="62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6" t="s">
        <v>140</v>
      </c>
      <c r="C26" s="12">
        <f>SUM(C15,C17,C19,C23,C25)</f>
        <v>97990377.652918071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B+fO31RQ1IWhTaxjlRMbZHjTrXSqJmS8W82ypkkVItFl5QMCfIfag6Hti0d2a3S8XEwckKmazAiunMhU/Nwpg==" saltValue="VKYBEss8woh1sVL6QR7X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184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23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44" t="s">
        <v>185</v>
      </c>
      <c r="C8" s="7">
        <f>'Fane 2.3. Økonomisk ramme 2024'!C15</f>
        <v>92250959.57579796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5" t="s">
        <v>20</v>
      </c>
      <c r="C11" s="9">
        <f>SUM(C8:C10)*'Fane 14. Nøgletal'!C14</f>
        <v>304428.16660013329</v>
      </c>
      <c r="D11" s="8" t="s">
        <v>3</v>
      </c>
      <c r="E11" s="1"/>
    </row>
    <row r="12" spans="1:5" ht="15" customHeight="1" x14ac:dyDescent="0.25">
      <c r="A12" s="1"/>
      <c r="B12" s="45" t="s">
        <v>10</v>
      </c>
      <c r="C12" s="9">
        <f>-SUM(C8:C11)*'Fane 5. Individuelt eff. krav'!G11</f>
        <v>-1851107.7548479619</v>
      </c>
      <c r="D12" s="8" t="s">
        <v>3</v>
      </c>
      <c r="E12" s="1"/>
    </row>
    <row r="13" spans="1:5" ht="15" customHeight="1" x14ac:dyDescent="0.25">
      <c r="A13" s="1"/>
      <c r="B13" s="45" t="s">
        <v>27</v>
      </c>
      <c r="C13" s="9">
        <f>-'Fane 4.1. Gen. krav - drift'!G62</f>
        <v>-550653.62218703423</v>
      </c>
      <c r="D13" s="8" t="s">
        <v>3</v>
      </c>
      <c r="E13" s="1"/>
    </row>
    <row r="14" spans="1:5" ht="15" customHeight="1" x14ac:dyDescent="0.25">
      <c r="A14" s="1"/>
      <c r="B14" s="45" t="s">
        <v>28</v>
      </c>
      <c r="C14" s="9">
        <f>-'Fane 4.2. Gen. krav - anlæg'!G60</f>
        <v>-1052183.0728450951</v>
      </c>
      <c r="D14" s="8" t="s">
        <v>3</v>
      </c>
      <c r="E14" s="1"/>
    </row>
    <row r="15" spans="1:5" x14ac:dyDescent="0.25">
      <c r="A15" s="1"/>
      <c r="B15" s="49" t="s">
        <v>22</v>
      </c>
      <c r="C15" s="10">
        <f>SUM(C8:C14)</f>
        <v>89101443.292518005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4" t="s">
        <v>13</v>
      </c>
      <c r="C17" s="10">
        <f>'Fane 6. Ikke-påvirkelige omk.'!C16*(1+'Fane 14. Nøgletal'!C14)^3+'Fane 6. Ikke-påvirkelige omk.'!C23+'Fane 6. Ikke-påvirkelige omk.'!C31</f>
        <v>5751407.6109746145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52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6" t="s">
        <v>73</v>
      </c>
      <c r="C21" s="9">
        <f>'Fane 10.2. Engangstillæg'!C39</f>
        <v>0</v>
      </c>
      <c r="D21" s="8" t="s">
        <v>3</v>
      </c>
      <c r="E21" s="1"/>
    </row>
    <row r="22" spans="1:5" ht="15" customHeight="1" x14ac:dyDescent="0.25">
      <c r="A22" s="1"/>
      <c r="B22" s="46" t="s">
        <v>74</v>
      </c>
      <c r="C22" s="9">
        <f>'Fane 10.2. Engangstillæg'!E39</f>
        <v>0</v>
      </c>
      <c r="D22" s="8" t="s">
        <v>3</v>
      </c>
      <c r="E22" s="1"/>
    </row>
    <row r="23" spans="1:5" ht="15" customHeight="1" x14ac:dyDescent="0.25">
      <c r="A23" s="1"/>
      <c r="B23" s="52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6" t="s">
        <v>186</v>
      </c>
      <c r="C24" s="12">
        <f>SUM(C15,C17,C19,C23)</f>
        <v>94852850.903492615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ccrlmDLAhELyaO39GyIeVrayheUNQ/dfkShKr2NEDYdupgU195dWZS+22y9EjnLrjm/ZWunmdvFcgeXB6PM+g==" saltValue="MdJ2nUuAD86BjC7No6NX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187</v>
      </c>
      <c r="C3" s="104"/>
      <c r="D3" s="104"/>
      <c r="E3" s="104"/>
      <c r="F3" s="104"/>
      <c r="G3" s="1"/>
    </row>
    <row r="4" spans="1:7" ht="29.2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188</v>
      </c>
      <c r="C8" s="37"/>
      <c r="D8" s="37"/>
      <c r="E8" s="37"/>
      <c r="F8" s="20"/>
      <c r="G8" s="1"/>
    </row>
    <row r="9" spans="1:7" x14ac:dyDescent="0.25">
      <c r="A9" s="1"/>
      <c r="B9" s="105" t="s">
        <v>25</v>
      </c>
      <c r="C9" s="106"/>
      <c r="D9" s="107"/>
      <c r="E9" s="7">
        <v>96140839.467684343</v>
      </c>
      <c r="F9" s="8" t="s">
        <v>3</v>
      </c>
      <c r="G9" s="1"/>
    </row>
    <row r="10" spans="1:7" ht="14.25" customHeight="1" x14ac:dyDescent="0.25">
      <c r="A10" s="1"/>
      <c r="B10" s="101" t="s">
        <v>227</v>
      </c>
      <c r="C10" s="102"/>
      <c r="D10" s="103"/>
      <c r="E10" s="7">
        <v>279042.86477921443</v>
      </c>
      <c r="F10" s="8" t="s">
        <v>3</v>
      </c>
      <c r="G10" s="1"/>
    </row>
    <row r="11" spans="1:7" ht="14.25" customHeight="1" x14ac:dyDescent="0.25">
      <c r="A11" s="1"/>
      <c r="B11" s="101" t="s">
        <v>228</v>
      </c>
      <c r="C11" s="102"/>
      <c r="D11" s="103"/>
      <c r="E11" s="7">
        <v>1638653.2698890702</v>
      </c>
      <c r="F11" s="8" t="s">
        <v>3</v>
      </c>
      <c r="G11" s="1"/>
    </row>
    <row r="12" spans="1:7" x14ac:dyDescent="0.25">
      <c r="A12" s="1"/>
      <c r="B12" s="101" t="s">
        <v>189</v>
      </c>
      <c r="C12" s="102"/>
      <c r="D12" s="103"/>
      <c r="E12" s="9">
        <v>764793.48301489989</v>
      </c>
      <c r="F12" s="8" t="s">
        <v>3</v>
      </c>
      <c r="G12" s="1"/>
    </row>
    <row r="13" spans="1:7" x14ac:dyDescent="0.25">
      <c r="A13" s="1"/>
      <c r="B13" s="101" t="s">
        <v>190</v>
      </c>
      <c r="C13" s="102"/>
      <c r="D13" s="103"/>
      <c r="E13" s="9">
        <v>3103724.5912745153</v>
      </c>
      <c r="F13" s="8" t="s">
        <v>3</v>
      </c>
      <c r="G13" s="1"/>
    </row>
    <row r="14" spans="1:7" x14ac:dyDescent="0.25">
      <c r="A14" s="1"/>
      <c r="B14" s="92" t="s">
        <v>43</v>
      </c>
      <c r="C14" s="93"/>
      <c r="D14" s="94"/>
      <c r="E14" s="9">
        <v>590708.78579999995</v>
      </c>
      <c r="F14" s="8" t="s">
        <v>3</v>
      </c>
      <c r="G14" s="1"/>
    </row>
    <row r="15" spans="1:7" x14ac:dyDescent="0.25">
      <c r="A15" s="1"/>
      <c r="B15" s="92" t="s">
        <v>44</v>
      </c>
      <c r="C15" s="93"/>
      <c r="D15" s="94"/>
      <c r="E15" s="9">
        <v>1714506.8724</v>
      </c>
      <c r="F15" s="8" t="s">
        <v>3</v>
      </c>
      <c r="G15" s="1"/>
    </row>
    <row r="16" spans="1:7" x14ac:dyDescent="0.25">
      <c r="A16" s="1"/>
      <c r="B16" s="92" t="s">
        <v>30</v>
      </c>
      <c r="C16" s="93"/>
      <c r="D16" s="94"/>
      <c r="E16" s="9">
        <v>0</v>
      </c>
      <c r="F16" s="8" t="s">
        <v>3</v>
      </c>
      <c r="G16" s="1"/>
    </row>
    <row r="17" spans="1:7" x14ac:dyDescent="0.25">
      <c r="A17" s="1"/>
      <c r="B17" s="92" t="s">
        <v>29</v>
      </c>
      <c r="C17" s="93"/>
      <c r="D17" s="94"/>
      <c r="E17" s="9">
        <v>0</v>
      </c>
      <c r="F17" s="8" t="s">
        <v>3</v>
      </c>
      <c r="G17" s="1"/>
    </row>
    <row r="18" spans="1:7" x14ac:dyDescent="0.25">
      <c r="A18" s="1"/>
      <c r="B18" s="92" t="s">
        <v>137</v>
      </c>
      <c r="C18" s="93"/>
      <c r="D18" s="94"/>
      <c r="E18" s="9">
        <v>0</v>
      </c>
      <c r="F18" s="8" t="s">
        <v>3</v>
      </c>
      <c r="G18" s="1"/>
    </row>
    <row r="19" spans="1:7" x14ac:dyDescent="0.25">
      <c r="A19" s="1"/>
      <c r="B19" s="92" t="s">
        <v>138</v>
      </c>
      <c r="C19" s="93"/>
      <c r="D19" s="94"/>
      <c r="E19" s="9">
        <v>0</v>
      </c>
      <c r="F19" s="8" t="s">
        <v>3</v>
      </c>
      <c r="G19" s="1"/>
    </row>
    <row r="20" spans="1:7" x14ac:dyDescent="0.25">
      <c r="A20" s="1"/>
      <c r="B20" s="92" t="s">
        <v>20</v>
      </c>
      <c r="C20" s="93"/>
      <c r="D20" s="94"/>
      <c r="E20" s="9">
        <v>1717948.443797152</v>
      </c>
      <c r="F20" s="8" t="s">
        <v>3</v>
      </c>
      <c r="G20" s="1"/>
    </row>
    <row r="21" spans="1:7" x14ac:dyDescent="0.25">
      <c r="A21" s="1"/>
      <c r="B21" s="92" t="s">
        <v>10</v>
      </c>
      <c r="C21" s="93"/>
      <c r="D21" s="94"/>
      <c r="E21" s="9">
        <v>0</v>
      </c>
      <c r="F21" s="8" t="s">
        <v>3</v>
      </c>
      <c r="G21" s="1"/>
    </row>
    <row r="22" spans="1:7" x14ac:dyDescent="0.25">
      <c r="A22" s="1"/>
      <c r="B22" s="92" t="s">
        <v>27</v>
      </c>
      <c r="C22" s="93"/>
      <c r="D22" s="94"/>
      <c r="E22" s="9">
        <f>-'Fane 4.1. Gen. krav - drift'!G36</f>
        <v>-567085.38112216617</v>
      </c>
      <c r="F22" s="8" t="s">
        <v>3</v>
      </c>
      <c r="G22" s="1"/>
    </row>
    <row r="23" spans="1:7" x14ac:dyDescent="0.25">
      <c r="A23" s="1"/>
      <c r="B23" s="92" t="s">
        <v>28</v>
      </c>
      <c r="C23" s="93"/>
      <c r="D23" s="94"/>
      <c r="E23" s="9">
        <f>-'Fane 4.2. Gen. krav - anlæg'!G35</f>
        <v>-1308357.7176736302</v>
      </c>
      <c r="F23" s="8" t="s">
        <v>3</v>
      </c>
      <c r="G23" s="1"/>
    </row>
    <row r="24" spans="1:7" x14ac:dyDescent="0.25">
      <c r="A24" s="1"/>
      <c r="B24" s="95" t="s">
        <v>22</v>
      </c>
      <c r="C24" s="96"/>
      <c r="D24" s="97"/>
      <c r="E24" s="10">
        <f>SUM(E9,E14:E23)</f>
        <v>98288560.470885694</v>
      </c>
      <c r="F24" s="11" t="s">
        <v>3</v>
      </c>
      <c r="G24" s="1"/>
    </row>
    <row r="25" spans="1:7" x14ac:dyDescent="0.2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25">
      <c r="A26" s="1"/>
      <c r="B26" s="89" t="s">
        <v>13</v>
      </c>
      <c r="C26" s="90"/>
      <c r="D26" s="91"/>
      <c r="E26" s="10">
        <v>6168621.5744327195</v>
      </c>
      <c r="F26" s="10" t="s">
        <v>3</v>
      </c>
      <c r="G26" s="1"/>
    </row>
    <row r="27" spans="1:7" ht="14.25" customHeight="1" x14ac:dyDescent="0.25">
      <c r="A27" s="1"/>
      <c r="B27" s="36" t="s">
        <v>78</v>
      </c>
      <c r="C27" s="37"/>
      <c r="D27" s="37"/>
      <c r="E27" s="37"/>
      <c r="F27" s="20"/>
      <c r="G27" s="1"/>
    </row>
    <row r="28" spans="1:7" x14ac:dyDescent="0.25">
      <c r="A28" s="1"/>
      <c r="B28" s="98" t="s">
        <v>78</v>
      </c>
      <c r="C28" s="99"/>
      <c r="D28" s="100"/>
      <c r="E28" s="10">
        <v>0</v>
      </c>
      <c r="F28" s="10" t="s">
        <v>3</v>
      </c>
      <c r="G28" s="1"/>
    </row>
    <row r="29" spans="1:7" x14ac:dyDescent="0.2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25">
      <c r="A30" s="1"/>
      <c r="B30" s="101" t="s">
        <v>73</v>
      </c>
      <c r="C30" s="102"/>
      <c r="D30" s="103"/>
      <c r="E30" s="34">
        <v>974914.57144620002</v>
      </c>
      <c r="F30" s="8" t="s">
        <v>3</v>
      </c>
      <c r="G30" s="1"/>
    </row>
    <row r="31" spans="1:7" ht="15.75" customHeight="1" x14ac:dyDescent="0.25">
      <c r="A31" s="1"/>
      <c r="B31" s="101" t="s">
        <v>74</v>
      </c>
      <c r="C31" s="102"/>
      <c r="D31" s="103"/>
      <c r="E31" s="34">
        <v>0</v>
      </c>
      <c r="F31" s="8" t="s">
        <v>3</v>
      </c>
      <c r="G31" s="1"/>
    </row>
    <row r="32" spans="1:7" x14ac:dyDescent="0.25">
      <c r="A32" s="1"/>
      <c r="B32" s="52" t="s">
        <v>79</v>
      </c>
      <c r="C32" s="50"/>
      <c r="D32" s="51"/>
      <c r="E32" s="10">
        <v>955416.28001727606</v>
      </c>
      <c r="F32" s="11" t="s">
        <v>3</v>
      </c>
      <c r="G32" s="1"/>
    </row>
    <row r="33" spans="1:7" x14ac:dyDescent="0.25">
      <c r="A33" s="1"/>
      <c r="B33" s="36" t="s">
        <v>287</v>
      </c>
      <c r="C33" s="37"/>
      <c r="D33" s="37"/>
      <c r="E33" s="37"/>
      <c r="F33" s="20"/>
      <c r="G33" s="1"/>
    </row>
    <row r="34" spans="1:7" ht="15" customHeight="1" x14ac:dyDescent="0.25">
      <c r="A34" s="1"/>
      <c r="B34" s="89" t="s">
        <v>287</v>
      </c>
      <c r="C34" s="90"/>
      <c r="D34" s="91"/>
      <c r="E34" s="10">
        <v>-1485146</v>
      </c>
      <c r="F34" s="11" t="s">
        <v>3</v>
      </c>
      <c r="G34" s="1"/>
    </row>
    <row r="35" spans="1:7" x14ac:dyDescent="0.25">
      <c r="A35" s="1"/>
      <c r="B35" s="36" t="s">
        <v>31</v>
      </c>
      <c r="C35" s="37"/>
      <c r="D35" s="37"/>
      <c r="E35" s="12">
        <f>E24+E26+E28+E32+E34</f>
        <v>103927452.32533568</v>
      </c>
      <c r="F35" s="13" t="s">
        <v>3</v>
      </c>
      <c r="G35" s="1"/>
    </row>
    <row r="36" spans="1:7" ht="26.85" customHeight="1" x14ac:dyDescent="0.25">
      <c r="A36" s="1"/>
      <c r="B36" s="86" t="s">
        <v>226</v>
      </c>
      <c r="C36" s="87"/>
      <c r="D36" s="87"/>
      <c r="E36" s="87"/>
      <c r="F36" s="8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ODZ03lOMfRFulAWfisU4t+TzEKyo5VjawCIVy5xaqcrR1DASHt76gFW5xuz1hJUbwDGQ9R/d3tGYAgSqb5rowg==" saltValue="6B7O9arWecK4ivOob/Ieiw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4" t="s">
        <v>121</v>
      </c>
      <c r="C1" s="104"/>
      <c r="D1" s="104"/>
      <c r="E1" s="104"/>
      <c r="F1" s="104"/>
      <c r="G1" s="104"/>
      <c r="H1" s="104"/>
      <c r="I1" s="1"/>
    </row>
    <row r="2" spans="1:9" ht="15" customHeight="1" x14ac:dyDescent="0.25">
      <c r="A2" s="1"/>
      <c r="B2" s="104"/>
      <c r="C2" s="104"/>
      <c r="D2" s="104"/>
      <c r="E2" s="104"/>
      <c r="F2" s="104"/>
      <c r="G2" s="104"/>
      <c r="H2" s="104"/>
      <c r="I2" s="1"/>
    </row>
    <row r="3" spans="1:9" ht="15" customHeight="1" x14ac:dyDescent="0.25">
      <c r="A3" s="1"/>
      <c r="B3" s="104"/>
      <c r="C3" s="104"/>
      <c r="D3" s="104"/>
      <c r="E3" s="104"/>
      <c r="F3" s="104"/>
      <c r="G3" s="104"/>
      <c r="H3" s="104"/>
      <c r="I3" s="1"/>
    </row>
    <row r="4" spans="1:9" x14ac:dyDescent="0.25">
      <c r="A4" s="1"/>
      <c r="B4" s="108" t="s">
        <v>229</v>
      </c>
      <c r="C4" s="109"/>
      <c r="D4" s="109"/>
      <c r="E4" s="109"/>
      <c r="F4" s="109"/>
      <c r="G4" s="109"/>
      <c r="H4" s="110"/>
      <c r="I4" s="1"/>
    </row>
    <row r="5" spans="1:9" x14ac:dyDescent="0.25">
      <c r="A5" s="1"/>
      <c r="B5" s="111" t="s">
        <v>230</v>
      </c>
      <c r="C5" s="112"/>
      <c r="D5" s="112"/>
      <c r="E5" s="112"/>
      <c r="F5" s="113"/>
      <c r="G5" s="24">
        <v>26882057.813250385</v>
      </c>
      <c r="H5" s="14" t="s">
        <v>3</v>
      </c>
      <c r="I5" s="1"/>
    </row>
    <row r="6" spans="1:9" ht="15" customHeight="1" x14ac:dyDescent="0.25">
      <c r="A6" s="1"/>
      <c r="B6" s="86" t="s">
        <v>231</v>
      </c>
      <c r="C6" s="87"/>
      <c r="D6" s="87"/>
      <c r="E6" s="87"/>
      <c r="F6" s="88"/>
      <c r="G6" s="42">
        <v>0</v>
      </c>
      <c r="H6" s="14" t="s">
        <v>3</v>
      </c>
      <c r="I6" s="1"/>
    </row>
    <row r="7" spans="1:9" x14ac:dyDescent="0.25">
      <c r="A7" s="1"/>
      <c r="B7" s="111" t="s">
        <v>232</v>
      </c>
      <c r="C7" s="112"/>
      <c r="D7" s="112"/>
      <c r="E7" s="112"/>
      <c r="F7" s="113"/>
      <c r="G7" s="24">
        <f>SUM(G5:G6)*'Fane 14. Nøgletal'!C29</f>
        <v>537641.15626500768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8" t="s">
        <v>53</v>
      </c>
      <c r="C10" s="109"/>
      <c r="D10" s="109"/>
      <c r="E10" s="109"/>
      <c r="F10" s="109"/>
      <c r="G10" s="109"/>
      <c r="H10" s="110"/>
      <c r="I10" s="1"/>
    </row>
    <row r="11" spans="1:9" x14ac:dyDescent="0.25">
      <c r="A11" s="1"/>
      <c r="B11" s="111" t="s">
        <v>233</v>
      </c>
      <c r="C11" s="112"/>
      <c r="D11" s="112"/>
      <c r="E11" s="112"/>
      <c r="F11" s="113"/>
      <c r="G11" s="24">
        <f>(G5-G7)*(1+'Fane 14. Nøgletal'!C10)</f>
        <v>26805443.948482621</v>
      </c>
      <c r="H11" s="14" t="s">
        <v>3</v>
      </c>
      <c r="I11" s="1"/>
    </row>
    <row r="12" spans="1:9" x14ac:dyDescent="0.25">
      <c r="A12" s="1"/>
      <c r="B12" s="111" t="s">
        <v>133</v>
      </c>
      <c r="C12" s="112"/>
      <c r="D12" s="112"/>
      <c r="E12" s="112"/>
      <c r="F12" s="113"/>
      <c r="G12" s="24">
        <v>116821.03132700028</v>
      </c>
      <c r="H12" s="14" t="s">
        <v>3</v>
      </c>
      <c r="I12" s="1"/>
    </row>
    <row r="13" spans="1:9" x14ac:dyDescent="0.25">
      <c r="A13" s="1"/>
      <c r="B13" s="86" t="s">
        <v>131</v>
      </c>
      <c r="C13" s="87"/>
      <c r="D13" s="87"/>
      <c r="E13" s="87"/>
      <c r="F13" s="88"/>
      <c r="G13" s="42">
        <v>0</v>
      </c>
      <c r="H13" s="14" t="s">
        <v>3</v>
      </c>
      <c r="I13" s="1"/>
    </row>
    <row r="14" spans="1:9" x14ac:dyDescent="0.25">
      <c r="A14" s="1"/>
      <c r="B14" s="114" t="s">
        <v>234</v>
      </c>
      <c r="C14" s="115"/>
      <c r="D14" s="115"/>
      <c r="E14" s="115"/>
      <c r="F14" s="116"/>
      <c r="G14" s="42">
        <v>0</v>
      </c>
      <c r="H14" s="14" t="s">
        <v>3</v>
      </c>
      <c r="I14" s="1"/>
    </row>
    <row r="15" spans="1:9" x14ac:dyDescent="0.25">
      <c r="A15" s="1"/>
      <c r="B15" s="111" t="s">
        <v>46</v>
      </c>
      <c r="C15" s="112"/>
      <c r="D15" s="112"/>
      <c r="E15" s="112"/>
      <c r="F15" s="113"/>
      <c r="G15" s="24">
        <f>SUM(G11:G14)*'Fane 14. Nøgletal'!C29</f>
        <v>538445.29959619243</v>
      </c>
      <c r="H15" s="14" t="s">
        <v>3</v>
      </c>
      <c r="I15" s="1"/>
    </row>
    <row r="16" spans="1:9" x14ac:dyDescent="0.2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8" t="s">
        <v>54</v>
      </c>
      <c r="C18" s="109"/>
      <c r="D18" s="109"/>
      <c r="E18" s="109"/>
      <c r="F18" s="109"/>
      <c r="G18" s="109"/>
      <c r="H18" s="110"/>
      <c r="I18" s="1"/>
    </row>
    <row r="19" spans="1:9" x14ac:dyDescent="0.25">
      <c r="A19" s="1"/>
      <c r="B19" s="111" t="s">
        <v>47</v>
      </c>
      <c r="C19" s="112"/>
      <c r="D19" s="112"/>
      <c r="E19" s="112"/>
      <c r="F19" s="113"/>
      <c r="G19" s="24">
        <f>(G11+G12+G14-G15)*(1+'Fane 14. Nøgletal'!C10)</f>
        <v>26845536.524617165</v>
      </c>
      <c r="H19" s="14" t="s">
        <v>3</v>
      </c>
      <c r="I19" s="1"/>
    </row>
    <row r="20" spans="1:9" x14ac:dyDescent="0.25">
      <c r="A20" s="1"/>
      <c r="B20" s="114" t="s">
        <v>48</v>
      </c>
      <c r="C20" s="115"/>
      <c r="D20" s="115"/>
      <c r="E20" s="115"/>
      <c r="F20" s="116"/>
      <c r="G20" s="24">
        <v>285719.92221421993</v>
      </c>
      <c r="H20" s="14" t="s">
        <v>3</v>
      </c>
      <c r="I20" s="1"/>
    </row>
    <row r="21" spans="1:9" x14ac:dyDescent="0.25">
      <c r="A21" s="1"/>
      <c r="B21" s="111" t="s">
        <v>49</v>
      </c>
      <c r="C21" s="112"/>
      <c r="D21" s="112"/>
      <c r="E21" s="112"/>
      <c r="F21" s="113"/>
      <c r="G21" s="24">
        <f>(G19+G20)*'Fane 14. Nøgletal'!C29</f>
        <v>542625.12893662776</v>
      </c>
      <c r="H21" s="14" t="s">
        <v>3</v>
      </c>
      <c r="I21" s="1"/>
    </row>
    <row r="22" spans="1:9" x14ac:dyDescent="0.2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8" t="s">
        <v>55</v>
      </c>
      <c r="C24" s="109"/>
      <c r="D24" s="109"/>
      <c r="E24" s="109"/>
      <c r="F24" s="109"/>
      <c r="G24" s="109"/>
      <c r="H24" s="110"/>
      <c r="I24" s="1"/>
    </row>
    <row r="25" spans="1:9" x14ac:dyDescent="0.25">
      <c r="A25" s="1"/>
      <c r="B25" s="111" t="s">
        <v>50</v>
      </c>
      <c r="C25" s="112"/>
      <c r="D25" s="112"/>
      <c r="E25" s="112"/>
      <c r="F25" s="113"/>
      <c r="G25" s="24">
        <f>G19*(1-'Fane 14. Nøgletal'!C29)*(1+'Fane 14. Nøgletal'!C10)+G20*(1-'Fane 14. Nøgletal'!C29)*(1+'Fane 14. Nøgletal'!C11)</f>
        <v>27053764.362643659</v>
      </c>
      <c r="H25" s="14" t="s">
        <v>3</v>
      </c>
      <c r="I25" s="1"/>
    </row>
    <row r="26" spans="1:9" x14ac:dyDescent="0.25">
      <c r="A26" s="1"/>
      <c r="B26" s="117" t="s">
        <v>235</v>
      </c>
      <c r="C26" s="118"/>
      <c r="D26" s="118"/>
      <c r="E26" s="118"/>
      <c r="F26" s="119"/>
      <c r="G26" s="24">
        <f>G20*(1-'Fane 14. Nøgletal'!C29)*(1+'Fane 14. Nøgletal'!C11)</f>
        <v>284737.6171216474</v>
      </c>
      <c r="H26" s="14" t="s">
        <v>3</v>
      </c>
      <c r="I26" s="1"/>
    </row>
    <row r="27" spans="1:9" x14ac:dyDescent="0.25">
      <c r="A27" s="1"/>
      <c r="B27" s="114" t="s">
        <v>51</v>
      </c>
      <c r="C27" s="115"/>
      <c r="D27" s="115"/>
      <c r="E27" s="115"/>
      <c r="F27" s="116"/>
      <c r="G27" s="24">
        <v>780401.51328051009</v>
      </c>
      <c r="H27" s="14" t="s">
        <v>3</v>
      </c>
      <c r="I27" s="1"/>
    </row>
    <row r="28" spans="1:9" x14ac:dyDescent="0.25">
      <c r="A28" s="1"/>
      <c r="B28" s="111" t="s">
        <v>52</v>
      </c>
      <c r="C28" s="112"/>
      <c r="D28" s="112"/>
      <c r="E28" s="112"/>
      <c r="F28" s="113"/>
      <c r="G28" s="24">
        <f>SUM(G25,G27)*'Fane 14. Nøgletal'!C29</f>
        <v>556683.31751848338</v>
      </c>
      <c r="H28" s="14" t="s">
        <v>3</v>
      </c>
      <c r="I28" s="1"/>
    </row>
    <row r="29" spans="1:9" x14ac:dyDescent="0.2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8" t="s">
        <v>56</v>
      </c>
      <c r="C31" s="109"/>
      <c r="D31" s="109"/>
      <c r="E31" s="109"/>
      <c r="F31" s="109"/>
      <c r="G31" s="109"/>
      <c r="H31" s="110"/>
      <c r="I31" s="1"/>
    </row>
    <row r="32" spans="1:9" x14ac:dyDescent="0.25">
      <c r="A32" s="1"/>
      <c r="B32" s="111" t="s">
        <v>57</v>
      </c>
      <c r="C32" s="112"/>
      <c r="D32" s="112"/>
      <c r="E32" s="112"/>
      <c r="F32" s="113"/>
      <c r="G32" s="24">
        <f>(G25-G26)*(1-'Fane 14. Nøgletal'!C29)*(1+'Fane 14. Nøgletal'!C10)+G26*(1-'Fane 14. Nøgletal'!C29)*(1+'Fane 14. Nøgletal'!C11)+G27*(1-'Fane 14. Nøgletal'!C29)*(1+'Fane 14. Nøgletal'!C12)</f>
        <v>27756353.623121552</v>
      </c>
      <c r="H32" s="14" t="s">
        <v>3</v>
      </c>
      <c r="I32" s="1"/>
    </row>
    <row r="33" spans="1:9" x14ac:dyDescent="0.25">
      <c r="A33" s="1"/>
      <c r="B33" s="117" t="s">
        <v>235</v>
      </c>
      <c r="C33" s="115"/>
      <c r="D33" s="115"/>
      <c r="E33" s="115"/>
      <c r="F33" s="116"/>
      <c r="G33" s="24">
        <f>G26*(1-'Fane 14. Nøgletal'!C29)*(1+'Fane 14. Nøgletal'!C11)</f>
        <v>283758.68919398315</v>
      </c>
      <c r="H33" s="14" t="s">
        <v>3</v>
      </c>
      <c r="I33" s="1"/>
    </row>
    <row r="34" spans="1:9" x14ac:dyDescent="0.25">
      <c r="A34" s="1"/>
      <c r="B34" s="117" t="s">
        <v>130</v>
      </c>
      <c r="C34" s="115"/>
      <c r="D34" s="115"/>
      <c r="E34" s="115"/>
      <c r="F34" s="116"/>
      <c r="G34" s="24">
        <f>G27*(1-'Fane 14. Nøgletal'!C29)*(1+'Fane 14. Nøgletal'!C12)</f>
        <v>779859.9146302935</v>
      </c>
      <c r="H34" s="14" t="s">
        <v>3</v>
      </c>
      <c r="I34" s="1"/>
    </row>
    <row r="35" spans="1:9" x14ac:dyDescent="0.25">
      <c r="A35" s="1"/>
      <c r="B35" s="111" t="s">
        <v>159</v>
      </c>
      <c r="C35" s="112"/>
      <c r="D35" s="112"/>
      <c r="E35" s="112"/>
      <c r="F35" s="113"/>
      <c r="G35" s="24">
        <v>597915.43298675993</v>
      </c>
      <c r="H35" s="14" t="s">
        <v>3</v>
      </c>
      <c r="I35" s="1"/>
    </row>
    <row r="36" spans="1:9" x14ac:dyDescent="0.25">
      <c r="A36" s="1"/>
      <c r="B36" s="111" t="s">
        <v>58</v>
      </c>
      <c r="C36" s="112"/>
      <c r="D36" s="112"/>
      <c r="E36" s="112"/>
      <c r="F36" s="113"/>
      <c r="G36" s="24">
        <f>SUM(G32,G35)*'Fane 14. Nøgletal'!C29</f>
        <v>567085.38112216617</v>
      </c>
      <c r="H36" s="14" t="s">
        <v>3</v>
      </c>
      <c r="I36" s="1"/>
    </row>
    <row r="37" spans="1:9" x14ac:dyDescent="0.2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8" t="s">
        <v>191</v>
      </c>
      <c r="C39" s="109"/>
      <c r="D39" s="109"/>
      <c r="E39" s="109"/>
      <c r="F39" s="109"/>
      <c r="G39" s="109"/>
      <c r="H39" s="110"/>
      <c r="I39" s="1"/>
    </row>
    <row r="40" spans="1:9" x14ac:dyDescent="0.25">
      <c r="A40" s="1"/>
      <c r="B40" s="111" t="s">
        <v>245</v>
      </c>
      <c r="C40" s="112"/>
      <c r="D40" s="112"/>
      <c r="E40" s="112"/>
      <c r="F40" s="113"/>
      <c r="G40" s="24">
        <f>(SUM(G32,G35)-G36)*(1+'Fane 14. Nøgletal'!C14)</f>
        <v>27878881.381113604</v>
      </c>
      <c r="H40" s="14" t="s">
        <v>3</v>
      </c>
      <c r="I40" s="1"/>
    </row>
    <row r="41" spans="1:9" x14ac:dyDescent="0.25">
      <c r="A41" s="1"/>
      <c r="B41" s="111" t="s">
        <v>244</v>
      </c>
      <c r="C41" s="112"/>
      <c r="D41" s="112"/>
      <c r="E41" s="112"/>
      <c r="F41" s="113"/>
      <c r="G41" s="24">
        <f>(SUM('Fane 2.1. Økonomisk ramme 2022'!C10,'Fane 2.1. Økonomisk ramme 2022'!C12,'Fane 2.1. Økonomisk ramme 2022'!C14)*(1+'Fane 14. Nøgletal'!C14))</f>
        <v>1086405.9418611901</v>
      </c>
      <c r="H41" s="14" t="s">
        <v>3</v>
      </c>
      <c r="I41" s="1"/>
    </row>
    <row r="42" spans="1:9" x14ac:dyDescent="0.25">
      <c r="A42" s="1"/>
      <c r="B42" s="111" t="s">
        <v>243</v>
      </c>
      <c r="C42" s="112"/>
      <c r="D42" s="112"/>
      <c r="E42" s="112"/>
      <c r="F42" s="113"/>
      <c r="G42" s="24">
        <f>(G40+G41)*'Fane 14. Nøgletal'!C29</f>
        <v>579305.74645949586</v>
      </c>
      <c r="H42" s="14" t="s">
        <v>3</v>
      </c>
      <c r="I42" s="1"/>
    </row>
    <row r="43" spans="1:9" x14ac:dyDescent="0.2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8" t="s">
        <v>223</v>
      </c>
      <c r="C45" s="109"/>
      <c r="D45" s="109"/>
      <c r="E45" s="109"/>
      <c r="F45" s="109"/>
      <c r="G45" s="109"/>
      <c r="H45" s="110"/>
      <c r="I45" s="1"/>
    </row>
    <row r="46" spans="1:9" x14ac:dyDescent="0.25">
      <c r="A46" s="1"/>
      <c r="B46" s="111" t="s">
        <v>256</v>
      </c>
      <c r="C46" s="112"/>
      <c r="D46" s="112"/>
      <c r="E46" s="112"/>
      <c r="F46" s="113"/>
      <c r="G46" s="24">
        <f>(G40+G41-G42)*(1+'Fane 14. Nøgletal'!C14)</f>
        <v>28479655.315717801</v>
      </c>
      <c r="H46" s="14" t="s">
        <v>3</v>
      </c>
      <c r="I46" s="1"/>
    </row>
    <row r="47" spans="1:9" x14ac:dyDescent="0.25">
      <c r="A47" s="1"/>
      <c r="B47" s="117" t="s">
        <v>258</v>
      </c>
      <c r="C47" s="115"/>
      <c r="D47" s="115"/>
      <c r="E47" s="115"/>
      <c r="F47" s="116"/>
      <c r="G47" s="24">
        <f>G41*(1+'Fane 14. Nøgletal'!C14)</f>
        <v>1089991.0814693321</v>
      </c>
      <c r="H47" s="14" t="s">
        <v>3</v>
      </c>
      <c r="I47" s="1"/>
    </row>
    <row r="48" spans="1:9" x14ac:dyDescent="0.25">
      <c r="A48" s="1"/>
      <c r="B48" s="111" t="s">
        <v>81</v>
      </c>
      <c r="C48" s="112"/>
      <c r="D48" s="112"/>
      <c r="E48" s="112"/>
      <c r="F48" s="113"/>
      <c r="G48" s="42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11" t="s">
        <v>257</v>
      </c>
      <c r="C49" s="112"/>
      <c r="D49" s="112"/>
      <c r="E49" s="112"/>
      <c r="F49" s="113"/>
      <c r="G49" s="24">
        <f>(G46+G48)*'Fane 14. Nøgletal'!C29</f>
        <v>569593.10631435609</v>
      </c>
      <c r="H49" s="14" t="s">
        <v>3</v>
      </c>
      <c r="I49" s="1"/>
    </row>
    <row r="50" spans="1:9" x14ac:dyDescent="0.2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25">
      <c r="A53" s="1"/>
      <c r="B53" s="108" t="s">
        <v>160</v>
      </c>
      <c r="C53" s="109"/>
      <c r="D53" s="109"/>
      <c r="E53" s="109"/>
      <c r="F53" s="109"/>
      <c r="G53" s="109"/>
      <c r="H53" s="110"/>
      <c r="I53" s="1"/>
    </row>
    <row r="54" spans="1:9" x14ac:dyDescent="0.25">
      <c r="A54" s="1"/>
      <c r="B54" s="111" t="s">
        <v>161</v>
      </c>
      <c r="C54" s="112"/>
      <c r="D54" s="112"/>
      <c r="E54" s="112"/>
      <c r="F54" s="113"/>
      <c r="G54" s="24">
        <f>(G46+G48-G49)*(1+'Fane 14. Nøgletal'!C14)</f>
        <v>28002165.414694477</v>
      </c>
      <c r="H54" s="14" t="s">
        <v>3</v>
      </c>
      <c r="I54" s="1"/>
    </row>
    <row r="55" spans="1:9" x14ac:dyDescent="0.25">
      <c r="A55" s="1"/>
      <c r="B55" s="111" t="s">
        <v>162</v>
      </c>
      <c r="C55" s="112"/>
      <c r="D55" s="112"/>
      <c r="E55" s="112"/>
      <c r="F55" s="113"/>
      <c r="G55" s="42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11" t="s">
        <v>163</v>
      </c>
      <c r="C56" s="112"/>
      <c r="D56" s="112"/>
      <c r="E56" s="112"/>
      <c r="F56" s="113"/>
      <c r="G56" s="24">
        <f>(G54+G55)*'Fane 14. Nøgletal'!C29</f>
        <v>560043.30829388951</v>
      </c>
      <c r="H56" s="14" t="s">
        <v>3</v>
      </c>
      <c r="I56" s="1"/>
    </row>
    <row r="57" spans="1:9" x14ac:dyDescent="0.2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58" t="s">
        <v>224</v>
      </c>
      <c r="C59" s="59"/>
      <c r="D59" s="59"/>
      <c r="E59" s="59"/>
      <c r="F59" s="59"/>
      <c r="G59" s="59"/>
      <c r="H59" s="60"/>
      <c r="I59" s="1"/>
    </row>
    <row r="60" spans="1:9" x14ac:dyDescent="0.2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27532681.109351709</v>
      </c>
      <c r="H60" s="14" t="s">
        <v>3</v>
      </c>
      <c r="I60" s="1"/>
    </row>
    <row r="61" spans="1:9" x14ac:dyDescent="0.25">
      <c r="A61" s="1"/>
      <c r="B61" s="55" t="s">
        <v>237</v>
      </c>
      <c r="C61" s="56"/>
      <c r="D61" s="56"/>
      <c r="E61" s="56"/>
      <c r="F61" s="57"/>
      <c r="G61" s="42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550653.62218703423</v>
      </c>
      <c r="H62" s="14" t="s">
        <v>3</v>
      </c>
      <c r="I62" s="1"/>
    </row>
    <row r="63" spans="1:9" x14ac:dyDescent="0.2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fYNG0ySl/dXYfrnpSPYOfJU/1cjxZ/ooNH9BiLPYdLj1D/F6DHeIQlhv6+8uYG/F3hWiG1vpVyDRRJupux4dTQ==" saltValue="ITtUFAPsarW3+SOqqZeRVQ==" spinCount="100000" sheet="1" objects="1" scenarios="1"/>
  <mergeCells count="39">
    <mergeCell ref="B41:F41"/>
    <mergeCell ref="B47:F47"/>
    <mergeCell ref="B53:H53"/>
    <mergeCell ref="B54:F54"/>
    <mergeCell ref="B55:F55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1:H3"/>
    <mergeCell ref="B4:H4"/>
    <mergeCell ref="B5:F5"/>
    <mergeCell ref="B7:F7"/>
    <mergeCell ref="B11:F11"/>
    <mergeCell ref="B10:H10"/>
    <mergeCell ref="B6:F6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20" t="s">
        <v>120</v>
      </c>
      <c r="C2" s="120"/>
      <c r="D2" s="120"/>
      <c r="E2" s="120"/>
      <c r="F2" s="120"/>
      <c r="G2" s="120"/>
      <c r="H2" s="120"/>
      <c r="I2" s="1"/>
    </row>
    <row r="3" spans="1:9" ht="28.5" customHeight="1" x14ac:dyDescent="0.25">
      <c r="A3" s="1"/>
      <c r="B3" s="120"/>
      <c r="C3" s="120"/>
      <c r="D3" s="120"/>
      <c r="E3" s="120"/>
      <c r="F3" s="120"/>
      <c r="G3" s="120"/>
      <c r="H3" s="120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8" t="s">
        <v>246</v>
      </c>
      <c r="C5" s="109"/>
      <c r="D5" s="109"/>
      <c r="E5" s="109"/>
      <c r="F5" s="109"/>
      <c r="G5" s="109"/>
      <c r="H5" s="110"/>
      <c r="I5" s="1"/>
    </row>
    <row r="6" spans="1:9" x14ac:dyDescent="0.25">
      <c r="A6" s="1"/>
      <c r="B6" s="111" t="s">
        <v>247</v>
      </c>
      <c r="C6" s="112"/>
      <c r="D6" s="112"/>
      <c r="E6" s="112"/>
      <c r="F6" s="113"/>
      <c r="G6" s="24">
        <v>65110348.012595333</v>
      </c>
      <c r="H6" s="14" t="s">
        <v>3</v>
      </c>
      <c r="I6" s="1"/>
    </row>
    <row r="7" spans="1:9" x14ac:dyDescent="0.25">
      <c r="A7" s="1"/>
      <c r="B7" s="111" t="s">
        <v>239</v>
      </c>
      <c r="C7" s="112"/>
      <c r="D7" s="112"/>
      <c r="E7" s="112"/>
      <c r="F7" s="113"/>
      <c r="G7" s="24">
        <f>G6*'Fane 14. Nøgletal'!C19</f>
        <v>592504.16691461753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8" t="s">
        <v>59</v>
      </c>
      <c r="C10" s="109"/>
      <c r="D10" s="109"/>
      <c r="E10" s="109"/>
      <c r="F10" s="109"/>
      <c r="G10" s="109"/>
      <c r="H10" s="110"/>
      <c r="I10" s="1"/>
    </row>
    <row r="11" spans="1:9" x14ac:dyDescent="0.25">
      <c r="A11" s="1"/>
      <c r="B11" s="111" t="s">
        <v>248</v>
      </c>
      <c r="C11" s="112"/>
      <c r="D11" s="112"/>
      <c r="E11" s="112"/>
      <c r="F11" s="113"/>
      <c r="G11" s="24">
        <f>(G6-G7)*(1+'Fane 14. Nøgletal'!C10)</f>
        <v>65646906.112980127</v>
      </c>
      <c r="H11" s="14" t="s">
        <v>3</v>
      </c>
      <c r="I11" s="1"/>
    </row>
    <row r="12" spans="1:9" x14ac:dyDescent="0.25">
      <c r="A12" s="1"/>
      <c r="B12" s="111" t="s">
        <v>134</v>
      </c>
      <c r="C12" s="112"/>
      <c r="D12" s="112"/>
      <c r="E12" s="112"/>
      <c r="F12" s="113"/>
      <c r="G12" s="24">
        <v>-221815.57321785053</v>
      </c>
      <c r="H12" s="14" t="s">
        <v>3</v>
      </c>
      <c r="I12" s="1"/>
    </row>
    <row r="13" spans="1:9" x14ac:dyDescent="0.25">
      <c r="A13" s="1"/>
      <c r="B13" s="114" t="s">
        <v>249</v>
      </c>
      <c r="C13" s="115"/>
      <c r="D13" s="115"/>
      <c r="E13" s="115"/>
      <c r="F13" s="116"/>
      <c r="G13" s="42">
        <v>0</v>
      </c>
      <c r="H13" s="14" t="s">
        <v>3</v>
      </c>
      <c r="I13" s="1"/>
    </row>
    <row r="14" spans="1:9" x14ac:dyDescent="0.25">
      <c r="A14" s="1"/>
      <c r="B14" s="111" t="s">
        <v>60</v>
      </c>
      <c r="C14" s="112"/>
      <c r="D14" s="112"/>
      <c r="E14" s="112"/>
      <c r="F14" s="113"/>
      <c r="G14" s="24">
        <f>SUM(G11:G13)*'Fane 14. Nøgletal'!C20</f>
        <v>1158024.1025537923</v>
      </c>
      <c r="H14" s="14" t="s">
        <v>3</v>
      </c>
      <c r="I14" s="1"/>
    </row>
    <row r="15" spans="1:9" x14ac:dyDescent="0.2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8" t="s">
        <v>61</v>
      </c>
      <c r="C17" s="109"/>
      <c r="D17" s="109"/>
      <c r="E17" s="109"/>
      <c r="F17" s="109"/>
      <c r="G17" s="109"/>
      <c r="H17" s="110"/>
      <c r="I17" s="1"/>
    </row>
    <row r="18" spans="1:9" x14ac:dyDescent="0.25">
      <c r="A18" s="1"/>
      <c r="B18" s="111" t="s">
        <v>62</v>
      </c>
      <c r="C18" s="112"/>
      <c r="D18" s="112"/>
      <c r="E18" s="112"/>
      <c r="F18" s="113"/>
      <c r="G18" s="24">
        <f>(G11+G12+G13-G14)*(1+'Fane 14. Nøgletal'!C10)</f>
        <v>65391740.099859633</v>
      </c>
      <c r="H18" s="14" t="s">
        <v>3</v>
      </c>
      <c r="I18" s="1"/>
    </row>
    <row r="19" spans="1:9" x14ac:dyDescent="0.25">
      <c r="A19" s="1"/>
      <c r="B19" s="114" t="s">
        <v>63</v>
      </c>
      <c r="C19" s="115"/>
      <c r="D19" s="115"/>
      <c r="E19" s="115"/>
      <c r="F19" s="116"/>
      <c r="G19" s="24">
        <v>1639829.1763689697</v>
      </c>
      <c r="H19" s="14" t="s">
        <v>3</v>
      </c>
      <c r="I19" s="1"/>
    </row>
    <row r="20" spans="1:9" x14ac:dyDescent="0.25">
      <c r="A20" s="1"/>
      <c r="B20" s="111" t="s">
        <v>64</v>
      </c>
      <c r="C20" s="112"/>
      <c r="D20" s="112"/>
      <c r="E20" s="112"/>
      <c r="F20" s="113"/>
      <c r="G20" s="24">
        <f>G18*'Fane 14. Nøgletal'!C20+G19*'Fane 14. Nøgletal'!C21</f>
        <v>1171700.3136019257</v>
      </c>
      <c r="H20" s="14" t="s">
        <v>3</v>
      </c>
      <c r="I20" s="1"/>
    </row>
    <row r="21" spans="1:9" x14ac:dyDescent="0.2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8" t="s">
        <v>222</v>
      </c>
      <c r="C23" s="109"/>
      <c r="D23" s="109"/>
      <c r="E23" s="109"/>
      <c r="F23" s="109"/>
      <c r="G23" s="109"/>
      <c r="H23" s="110"/>
      <c r="I23" s="1"/>
    </row>
    <row r="24" spans="1:9" x14ac:dyDescent="0.25">
      <c r="A24" s="1"/>
      <c r="B24" s="111" t="s">
        <v>65</v>
      </c>
      <c r="C24" s="112"/>
      <c r="D24" s="112"/>
      <c r="E24" s="112"/>
      <c r="F24" s="113"/>
      <c r="G24" s="24">
        <f>G18*(1-'Fane 14. Nøgletal'!C20)*(1+'Fane 14. Nøgletal'!C10)+G19*(1-'Fane 14. Nøgletal'!C21)*(1+'Fane 14. Nøgletal'!C11)</f>
        <v>67011441.331875123</v>
      </c>
      <c r="H24" s="14" t="s">
        <v>3</v>
      </c>
      <c r="I24" s="1"/>
    </row>
    <row r="25" spans="1:9" x14ac:dyDescent="0.25">
      <c r="A25" s="1"/>
      <c r="B25" s="117" t="s">
        <v>250</v>
      </c>
      <c r="C25" s="115"/>
      <c r="D25" s="115"/>
      <c r="E25" s="115"/>
      <c r="F25" s="116"/>
      <c r="G25" s="24">
        <f>G19*(1-'Fane 14. Nøgletal'!C21)*(1+'Fane 14. Nøgletal'!C11)</f>
        <v>1653034.6715313934</v>
      </c>
      <c r="H25" s="14" t="s">
        <v>3</v>
      </c>
      <c r="I25" s="1"/>
    </row>
    <row r="26" spans="1:9" x14ac:dyDescent="0.25">
      <c r="A26" s="1"/>
      <c r="B26" s="114" t="s">
        <v>66</v>
      </c>
      <c r="C26" s="115"/>
      <c r="D26" s="115"/>
      <c r="E26" s="115"/>
      <c r="F26" s="116"/>
      <c r="G26" s="24">
        <v>3194446.882744458</v>
      </c>
      <c r="H26" s="14" t="s">
        <v>3</v>
      </c>
      <c r="I26" s="1"/>
    </row>
    <row r="27" spans="1:9" x14ac:dyDescent="0.25">
      <c r="A27" s="1"/>
      <c r="B27" s="111" t="s">
        <v>67</v>
      </c>
      <c r="C27" s="112"/>
      <c r="D27" s="112"/>
      <c r="E27" s="112"/>
      <c r="F27" s="113"/>
      <c r="G27" s="24">
        <f>(G24-G25)*'Fane 14. Nøgletal'!C21+G25*'Fane 14. Nøgletal'!C22+G26*'Fane 14. Nøgletal'!C23</f>
        <v>703411.61189195467</v>
      </c>
      <c r="H27" s="14" t="s">
        <v>3</v>
      </c>
      <c r="I27" s="1"/>
    </row>
    <row r="28" spans="1:9" x14ac:dyDescent="0.2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8" t="s">
        <v>68</v>
      </c>
      <c r="C30" s="109"/>
      <c r="D30" s="109"/>
      <c r="E30" s="109"/>
      <c r="F30" s="109"/>
      <c r="G30" s="109"/>
      <c r="H30" s="110"/>
      <c r="I30" s="1"/>
    </row>
    <row r="31" spans="1:9" x14ac:dyDescent="0.25">
      <c r="A31" s="1"/>
      <c r="B31" s="111" t="s">
        <v>69</v>
      </c>
      <c r="C31" s="112"/>
      <c r="D31" s="112"/>
      <c r="E31" s="112"/>
      <c r="F31" s="113"/>
      <c r="G31" s="24">
        <f>(G24-G25)*(1-'Fane 14. Nøgletal'!C20)*(1+'Fane 14. Nøgletal'!C10)+G25*(1-'Fane 14. Nøgletal'!C21)*(1+'Fane 14. Nøgletal'!C11)+G26*(1-'Fane 14. Nøgletal'!C22)*(1+'Fane 14. Nøgletal'!C12)</f>
        <v>70156304.688421443</v>
      </c>
      <c r="H31" s="14" t="s">
        <v>3</v>
      </c>
      <c r="I31" s="1"/>
    </row>
    <row r="32" spans="1:9" x14ac:dyDescent="0.25">
      <c r="A32" s="1"/>
      <c r="B32" s="117" t="s">
        <v>251</v>
      </c>
      <c r="C32" s="115"/>
      <c r="D32" s="115"/>
      <c r="E32" s="115"/>
      <c r="F32" s="116"/>
      <c r="G32" s="24">
        <f>G25*(1-'Fane 14. Nøgletal'!C21)*(1+'Fane 14. Nøgletal'!C11)</f>
        <v>1666346.5101501953</v>
      </c>
      <c r="H32" s="14" t="s">
        <v>3</v>
      </c>
      <c r="I32" s="1"/>
    </row>
    <row r="33" spans="1:9" x14ac:dyDescent="0.25">
      <c r="A33" s="1"/>
      <c r="B33" s="117" t="s">
        <v>129</v>
      </c>
      <c r="C33" s="115"/>
      <c r="D33" s="115"/>
      <c r="E33" s="115"/>
      <c r="F33" s="116"/>
      <c r="G33" s="24">
        <f>G26*(1-'Fane 14. Nøgletal'!C22)*(1+'Fane 14. Nøgletal'!C12)</f>
        <v>3164867.9657226233</v>
      </c>
      <c r="H33" s="14" t="s">
        <v>3</v>
      </c>
      <c r="I33" s="1"/>
    </row>
    <row r="34" spans="1:9" x14ac:dyDescent="0.25">
      <c r="A34" s="1"/>
      <c r="B34" s="111" t="s">
        <v>164</v>
      </c>
      <c r="C34" s="112"/>
      <c r="D34" s="112"/>
      <c r="E34" s="112"/>
      <c r="F34" s="113"/>
      <c r="G34" s="24">
        <v>1735423.85624328</v>
      </c>
      <c r="H34" s="14" t="s">
        <v>3</v>
      </c>
      <c r="I34" s="1"/>
    </row>
    <row r="35" spans="1:9" x14ac:dyDescent="0.25">
      <c r="A35" s="1"/>
      <c r="B35" s="111" t="s">
        <v>70</v>
      </c>
      <c r="C35" s="112"/>
      <c r="D35" s="112"/>
      <c r="E35" s="112"/>
      <c r="F35" s="113"/>
      <c r="G35" s="24">
        <f>(G31-SUM(G32:G33))*'Fane 14. Nøgletal'!C20+G32*'Fane 14. Nøgletal'!C21+G33*'Fane 14. Nøgletal'!C22+G34*'Fane 14. Nøgletal'!C23</f>
        <v>1308357.7176736302</v>
      </c>
      <c r="H35" s="14" t="s">
        <v>3</v>
      </c>
      <c r="I35" s="1"/>
    </row>
    <row r="36" spans="1:9" x14ac:dyDescent="0.2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8" t="s">
        <v>192</v>
      </c>
      <c r="C38" s="109"/>
      <c r="D38" s="109"/>
      <c r="E38" s="109"/>
      <c r="F38" s="109"/>
      <c r="G38" s="109"/>
      <c r="H38" s="110"/>
      <c r="I38" s="1"/>
    </row>
    <row r="39" spans="1:9" x14ac:dyDescent="0.25">
      <c r="A39" s="1"/>
      <c r="B39" s="111" t="s">
        <v>252</v>
      </c>
      <c r="C39" s="112"/>
      <c r="D39" s="112"/>
      <c r="E39" s="112"/>
      <c r="F39" s="113"/>
      <c r="G39" s="24">
        <f>(SUM(G31,G34)-G35)*(1+'Fane 14. Nøgletal'!C14)</f>
        <v>70816295.950720176</v>
      </c>
      <c r="H39" s="14" t="s">
        <v>3</v>
      </c>
      <c r="I39" s="1"/>
    </row>
    <row r="40" spans="1:9" x14ac:dyDescent="0.25">
      <c r="A40" s="1"/>
      <c r="B40" s="111" t="s">
        <v>193</v>
      </c>
      <c r="C40" s="112"/>
      <c r="D40" s="112"/>
      <c r="E40" s="112"/>
      <c r="F40" s="113"/>
      <c r="G40" s="24">
        <f>SUM('Fane 2.1. Økonomisk ramme 2022'!C11,'Fane 2.1. Økonomisk ramme 2022'!C13,'Fane 2.1. Økonomisk ramme 2022'!C15)*(1+'Fane 14. Nøgletal'!C14)</f>
        <v>2798302.7783832508</v>
      </c>
      <c r="H40" s="14" t="s">
        <v>3</v>
      </c>
      <c r="I40" s="1"/>
    </row>
    <row r="41" spans="1:9" x14ac:dyDescent="0.25">
      <c r="A41" s="1"/>
      <c r="B41" s="111" t="s">
        <v>194</v>
      </c>
      <c r="C41" s="112"/>
      <c r="D41" s="112"/>
      <c r="E41" s="112"/>
      <c r="F41" s="113"/>
      <c r="G41" s="24">
        <f>(G39+G40)*'Fane 14. Nøgletal'!C24</f>
        <v>1089496.0611907309</v>
      </c>
      <c r="H41" s="14" t="s">
        <v>3</v>
      </c>
      <c r="I41" s="1"/>
    </row>
    <row r="42" spans="1:9" x14ac:dyDescent="0.2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8" t="s">
        <v>253</v>
      </c>
      <c r="C44" s="109"/>
      <c r="D44" s="109"/>
      <c r="E44" s="109"/>
      <c r="F44" s="109"/>
      <c r="G44" s="109"/>
      <c r="H44" s="110"/>
      <c r="I44" s="1"/>
    </row>
    <row r="45" spans="1:9" x14ac:dyDescent="0.25">
      <c r="A45" s="1"/>
      <c r="B45" s="111" t="s">
        <v>71</v>
      </c>
      <c r="C45" s="112"/>
      <c r="D45" s="112"/>
      <c r="E45" s="112"/>
      <c r="F45" s="113"/>
      <c r="G45" s="24">
        <f>(G39+G40-G41)*(1+'Fane 14. Nøgletal'!C14)</f>
        <v>72764435.506716818</v>
      </c>
      <c r="H45" s="14" t="s">
        <v>3</v>
      </c>
      <c r="I45" s="1"/>
    </row>
    <row r="46" spans="1:9" x14ac:dyDescent="0.25">
      <c r="A46" s="1"/>
      <c r="B46" s="117" t="s">
        <v>260</v>
      </c>
      <c r="C46" s="115"/>
      <c r="D46" s="115"/>
      <c r="E46" s="115"/>
      <c r="F46" s="116"/>
      <c r="G46" s="24">
        <f>G40*(1+'Fane 14. Nøgletal'!C14)</f>
        <v>2807537.1775519159</v>
      </c>
      <c r="H46" s="14" t="s">
        <v>3</v>
      </c>
      <c r="I46" s="1"/>
    </row>
    <row r="47" spans="1:9" x14ac:dyDescent="0.25">
      <c r="A47" s="1"/>
      <c r="B47" s="111" t="s">
        <v>85</v>
      </c>
      <c r="C47" s="112"/>
      <c r="D47" s="112"/>
      <c r="E47" s="112"/>
      <c r="F47" s="113"/>
      <c r="G47" s="42">
        <f>-'Fane 13. Bortfald'!E18*(1+'Fane 14. Nøgletal'!C14)</f>
        <v>0</v>
      </c>
      <c r="H47" s="14" t="s">
        <v>3</v>
      </c>
      <c r="I47" s="1"/>
    </row>
    <row r="48" spans="1:9" x14ac:dyDescent="0.25">
      <c r="A48" s="1"/>
      <c r="B48" s="111" t="s">
        <v>259</v>
      </c>
      <c r="C48" s="112"/>
      <c r="D48" s="112"/>
      <c r="E48" s="112"/>
      <c r="F48" s="113"/>
      <c r="G48" s="24">
        <f>(G45+G47)*'Fane 14. Nøgletal'!C24</f>
        <v>1076913.6454994089</v>
      </c>
      <c r="H48" s="14" t="s">
        <v>3</v>
      </c>
      <c r="I48" s="1"/>
    </row>
    <row r="49" spans="1:9" x14ac:dyDescent="0.2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8" t="s">
        <v>165</v>
      </c>
      <c r="C51" s="109"/>
      <c r="D51" s="109"/>
      <c r="E51" s="109"/>
      <c r="F51" s="109"/>
      <c r="G51" s="109"/>
      <c r="H51" s="110"/>
      <c r="I51" s="1"/>
    </row>
    <row r="52" spans="1:9" x14ac:dyDescent="0.25">
      <c r="A52" s="1"/>
      <c r="B52" s="111" t="s">
        <v>166</v>
      </c>
      <c r="C52" s="112"/>
      <c r="D52" s="112"/>
      <c r="E52" s="112"/>
      <c r="F52" s="113"/>
      <c r="G52" s="24">
        <f>(G45+G47-G48)*(1+'Fane 14. Nøgletal'!C14)</f>
        <v>71924090.683359429</v>
      </c>
      <c r="H52" s="14" t="s">
        <v>3</v>
      </c>
      <c r="I52" s="1"/>
    </row>
    <row r="53" spans="1:9" x14ac:dyDescent="0.25">
      <c r="A53" s="1"/>
      <c r="B53" s="111" t="s">
        <v>167</v>
      </c>
      <c r="C53" s="112"/>
      <c r="D53" s="112"/>
      <c r="E53" s="112"/>
      <c r="F53" s="113"/>
      <c r="G53" s="42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11" t="s">
        <v>168</v>
      </c>
      <c r="C54" s="112"/>
      <c r="D54" s="112"/>
      <c r="E54" s="112"/>
      <c r="F54" s="113"/>
      <c r="G54" s="24">
        <f>(G52+G53)*'Fane 14. Nøgletal'!C24</f>
        <v>1064476.5421137195</v>
      </c>
      <c r="H54" s="14" t="s">
        <v>3</v>
      </c>
      <c r="I54" s="1"/>
    </row>
    <row r="55" spans="1:9" x14ac:dyDescent="0.2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8" t="s">
        <v>225</v>
      </c>
      <c r="C57" s="109"/>
      <c r="D57" s="109"/>
      <c r="E57" s="109"/>
      <c r="F57" s="109"/>
      <c r="G57" s="109"/>
      <c r="H57" s="110"/>
      <c r="I57" s="1"/>
    </row>
    <row r="58" spans="1:9" x14ac:dyDescent="0.25">
      <c r="A58" s="1"/>
      <c r="B58" s="111" t="s">
        <v>166</v>
      </c>
      <c r="C58" s="112"/>
      <c r="D58" s="112"/>
      <c r="E58" s="112"/>
      <c r="F58" s="113"/>
      <c r="G58" s="24">
        <f>(G52+G53-G54)*(1+'Fane 14. Nøgletal'!C14)</f>
        <v>71093450.867911831</v>
      </c>
      <c r="H58" s="14" t="s">
        <v>3</v>
      </c>
      <c r="I58" s="1"/>
    </row>
    <row r="59" spans="1:9" x14ac:dyDescent="0.25">
      <c r="A59" s="1"/>
      <c r="B59" s="111" t="s">
        <v>254</v>
      </c>
      <c r="C59" s="112"/>
      <c r="D59" s="112"/>
      <c r="E59" s="112"/>
      <c r="F59" s="113"/>
      <c r="G59" s="42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11" t="s">
        <v>255</v>
      </c>
      <c r="C60" s="112"/>
      <c r="D60" s="112"/>
      <c r="E60" s="112"/>
      <c r="F60" s="113"/>
      <c r="G60" s="24">
        <f>(G58+G59)*'Fane 14. Nøgletal'!C24</f>
        <v>1052183.0728450951</v>
      </c>
      <c r="H60" s="14" t="s">
        <v>3</v>
      </c>
      <c r="I60" s="1"/>
    </row>
    <row r="61" spans="1:9" x14ac:dyDescent="0.2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SJR36MAHC7GZF8jd2Y8zXBUfNeWwgzKEvQOHcX04da4vltHVZgoWeuRZwm4yiln4jvbZ+BRdcNzSlf7Dn20pGQ==" saltValue="yJfg1BHyNLNzg4MLsx3YJA==" spinCount="100000" sheet="1" objects="1" scenarios="1"/>
  <mergeCells count="41"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41:F41"/>
    <mergeCell ref="B44:H44"/>
    <mergeCell ref="B25:F25"/>
    <mergeCell ref="B30:H30"/>
    <mergeCell ref="B31:F31"/>
    <mergeCell ref="B35:F35"/>
    <mergeCell ref="B38:H38"/>
    <mergeCell ref="B34:F34"/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80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8" t="s">
        <v>10</v>
      </c>
      <c r="C8" s="109"/>
      <c r="D8" s="109"/>
      <c r="E8" s="109"/>
      <c r="F8" s="109"/>
      <c r="G8" s="109"/>
      <c r="H8" s="110"/>
      <c r="I8" s="1"/>
    </row>
    <row r="9" spans="1:9" x14ac:dyDescent="0.25">
      <c r="A9" s="1"/>
      <c r="B9" s="111" t="s">
        <v>261</v>
      </c>
      <c r="C9" s="112"/>
      <c r="D9" s="112"/>
      <c r="E9" s="112"/>
      <c r="F9" s="113"/>
      <c r="G9" s="23">
        <v>8.4323654203782925E-4</v>
      </c>
      <c r="H9" s="14"/>
      <c r="I9" s="1"/>
    </row>
    <row r="10" spans="1:9" x14ac:dyDescent="0.25">
      <c r="A10" s="1"/>
      <c r="B10" s="111" t="s">
        <v>105</v>
      </c>
      <c r="C10" s="112"/>
      <c r="D10" s="112"/>
      <c r="E10" s="112"/>
      <c r="F10" s="113"/>
      <c r="G10" s="23">
        <v>0</v>
      </c>
      <c r="H10" s="14"/>
      <c r="I10" s="1"/>
    </row>
    <row r="11" spans="1:9" x14ac:dyDescent="0.25">
      <c r="A11" s="1"/>
      <c r="B11" s="111" t="s">
        <v>195</v>
      </c>
      <c r="C11" s="112"/>
      <c r="D11" s="112"/>
      <c r="E11" s="112"/>
      <c r="F11" s="113"/>
      <c r="G11" s="23">
        <v>0.02</v>
      </c>
      <c r="H11" s="14"/>
      <c r="I11" s="1"/>
    </row>
    <row r="12" spans="1:9" x14ac:dyDescent="0.2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25">
      <c r="A13" s="1"/>
      <c r="B13" s="121" t="s">
        <v>196</v>
      </c>
      <c r="C13" s="121"/>
      <c r="D13" s="121"/>
      <c r="E13" s="121"/>
      <c r="F13" s="121"/>
      <c r="G13" s="121"/>
      <c r="H13" s="121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I48" s="1"/>
    </row>
  </sheetData>
  <sheetProtection algorithmName="SHA-512" hashValue="dB9q5fThwMFbVZzOmN6rMRzld/NyZNewwOQdIj2OQaYynu8URDujlUaO/Lt7c4G2jrrm5bJQMZpmwuXexgFLzw==" saltValue="jHFV1u7AFwiavssAavrkQA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2021-10-13T10:28:50Z</dcterms:modified>
</cp:coreProperties>
</file>