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Kerteminde Forsyning - Vand AS (V113)\ØR2024\"/>
    </mc:Choice>
  </mc:AlternateContent>
  <xr:revisionPtr revIDLastSave="0" documentId="13_ncr:1_{812E231F-B803-463D-AE3D-81B3C4248D6B}"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17" i="22" l="1"/>
  <c r="C17" i="15"/>
  <c r="C29" i="2"/>
  <c r="E23" i="41"/>
  <c r="E31" i="41" s="1"/>
  <c r="E33" i="41" s="1"/>
  <c r="E27" i="41" l="1"/>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<sst xmlns="http://schemas.openxmlformats.org/spreadsheetml/2006/main" count="550" uniqueCount="263">
  <si>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</si>
  <si>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</si>
  <si>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</si>
  <si>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</si>
  <si>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</si>
  <si>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</si>
  <si>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</si>
  <si>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</si>
  <si>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</si>
  <si>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</si>
  <si>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</si>
  <si>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</si>
  <si>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</si>
  <si>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</si>
  <si>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</si>
  <si>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</si>
  <si>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</si>
  <si>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</si>
  <si>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</si>
  <si>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</si>
  <si>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</si>
  <si>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</si>
  <si>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</si>
  <si>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</si>
  <si>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</si>
  <si>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</si>
  <si>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</si>
  <si>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</si>
  <si>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</si>
  <si>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</si>
  <si>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</si>
  <si>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</si>
  <si>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</si>
  <si>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</si>
  <si>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</si>
  <si>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</si>
  <si>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</si>
  <si>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</si>
  <si>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</si>
  <si>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</si>
  <si>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</si>
  <si>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</si>
  <si>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</si>
  <si>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</si>
  <si>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</si>
  <si>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</si>
  <si>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</si>
  <si>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</si>
  <si>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</si>
  <si>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</si>
  <si>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</si>
  <si>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</si>
  <si>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</si>
  <si>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</si>
  <si>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</si>
  <si>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</si>
  <si>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</si>
  <si>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</si>
  <si>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</si>
  <si>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</si>
  <si>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</si>
  <si>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</si>
  <si>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</si>
  <si>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</si>
  <si>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</si>
  <si>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</si>
  <si>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</si>
  <si>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</si>
  <si>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</si>
  <si>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</si>
  <si>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</si>
  <si>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</si>
  <si>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</si>
  <si>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</si>
  <si>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</si>
  <si>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</si>
  <si>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</si>
  <si>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</si>
  <si>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</si>
  <si>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</si>
  <si>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</si>
  <si>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</si>
  <si>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</si>
  <si>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</si>
  <si>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</si>
  <si>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</si>
  <si>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</si>
  <si>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</si>
  <si>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</si>
  <si>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</si>
  <si>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</si>
  <si>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</si>
  <si>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</si>
  <si>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</si>
  <si>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</si>
  <si>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</si>
  <si>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</si>
  <si>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</si>
  <si>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</si>
  <si>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</si>
  <si>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</si>
  <si>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</si>
  <si>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</si>
  <si>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</si>
  <si>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</si>
  <si>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</si>
  <si>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</si>
  <si>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</si>
  <si>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</si>
  <si>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</si>
  <si>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</si>
  <si>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</si>
  <si>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</si>
  <si>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</si>
  <si>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</si>
  <si>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</si>
  <si>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</si>
  <si>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</si>
  <si>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</si>
  <si>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</si>
  <si>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</si>
  <si>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</si>
  <si>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</si>
  <si>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</si>
  <si>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</si>
  <si>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</si>
  <si>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</si>
  <si>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</si>
  <si>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</si>
  <si>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</si>
  <si>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</si>
  <si>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</si>
  <si>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</si>
  <si>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</si>
  <si>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</si>
  <si>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</si>
  <si>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</si>
  <si>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</si>
  <si>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</si>
  <si>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</si>
  <si>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</si>
  <si>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</si>
  <si>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</si>
  <si>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</si>
  <si>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</si>
  <si>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</si>
  <si>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</si>
  <si>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</si>
  <si>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</si>
  <si>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</si>
  <si>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</si>
  <si>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</si>
  <si>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</si>
  <si>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</si>
  <si>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</si>
  <si>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</si>
  <si>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</si>
  <si>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</si>
  <si>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</si>
  <si>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</si>
  <si>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</si>
  <si>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</si>
  <si>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</si>
  <si>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</si>
  <si>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</si>
  <si>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</si>
  <si>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</si>
  <si>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</si>
  <si>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</si>
  <si>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</si>
  <si>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</si>
  <si>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</si>
  <si>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</si>
  <si>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</si>
  <si>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</si>
  <si>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</si>
  <si>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</si>
  <si>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</si>
  <si>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</si>
  <si>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</si>
  <si>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</si>
  <si>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</si>
  <si>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</si>
  <si>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</si>
  <si>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</si>
  <si>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</si>
  <si>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</si>
  <si>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</si>
  <si>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</si>
  <si>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</si>
  <si>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</si>
  <si>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</si>
  <si>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</si>
  <si>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</si>
  <si>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</si>
  <si>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</si>
  <si>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</si>
  <si>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</si>
  <si>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</si>
  <si>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</si>
  <si>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</si>
  <si>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</si>
  <si>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</si>
  <si>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</si>
  <si>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</si>
  <si>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</si>
  <si>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</si>
  <si>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</si>
  <si>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</si>
  <si>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</si>
  <si>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</si>
  <si>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</si>
  <si>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</si>
  <si>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</si>
  <si>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</si>
  <si>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</si>
  <si>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</si>
  <si>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</si>
  <si>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</si>
  <si>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</si>
  <si>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</si>
  <si>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</si>
  <si>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</si>
  <si>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</si>
  <si>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</si>
  <si>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</si>
  <si>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</si>
  <si>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</si>
  <si>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</si>
  <si>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</si>
  <si>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</si>
  <si>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</si>
  <si>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</si>
  <si>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</si>
  <si>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</si>
  <si>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</si>
  <si>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</si>
  <si>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</si>
  <si>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</si>
  <si>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</si>
  <si>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</si>
  <si>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</si>
  <si>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</si>
  <si>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Fjernaflæste målere</t>
  </si>
  <si>
    <t>Hjemtagning af vand</t>
  </si>
  <si>
    <t>Ingen engangstillæg</t>
  </si>
  <si>
    <t>Afgift for ledningsført vand</t>
  </si>
  <si>
    <t>Afgift til Forsyningssekretariatet</t>
  </si>
  <si>
    <t>Køb af ydelser og produkter fra andre vandselskaber reguleret af vandsektorloven</t>
  </si>
  <si>
    <t>Ejendomsskat</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</si>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</sst>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10" fontId="8" fillId="0" borderId="0" xfId="0" applyNumberFormat="1" applyFont="1" applyFill="1" applyBorder="1" applyProtection="1"/>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 val="Ark3"/>
    </sheetNames>
    <sheetDataSet>
      <sheetData sheetId="0"/>
      <sheetData sheetId="1">
        <row r="1">
          <cell r="A1" t="str">
            <v>ØR 2024-2027 samt statusmeddelelser</v>
          </cell>
        </row>
      </sheetData>
      <sheetData sheetId="2">
        <row r="1">
          <cell r="A1" t="str">
            <v>ØR 2023-2026 samt statusmeddelelser</v>
          </cell>
        </row>
      </sheetData>
      <sheetData sheetId="3">
        <row r="1">
          <cell r="A1" t="str">
            <v>ØR 2022-2025 samt statusmeddelelser</v>
          </cell>
        </row>
      </sheetData>
      <sheetData sheetId="4"/>
      <sheetData sheetId="5"/>
      <sheetData sheetId="6"/>
      <sheetData sheetId="7"/>
      <sheetData sheetId="8"/>
      <sheetData sheetId="9">
        <row r="5">
          <cell r="C5">
            <v>1.0168999999999999</v>
          </cell>
        </row>
      </sheetData>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8" t="s">
        <v>4</v>
      </c>
      <c r="E6" s="78"/>
      <c r="F6" s="78"/>
      <c r="G6" s="78"/>
      <c r="H6" s="3"/>
      <c r="I6" s="1"/>
    </row>
    <row r="7" spans="1:9" ht="15" customHeight="1" x14ac:dyDescent="0.25">
      <c r="A7" s="1"/>
      <c r="B7" s="1"/>
      <c r="C7" s="3"/>
      <c r="D7" s="78"/>
      <c r="E7" s="78"/>
      <c r="F7" s="78"/>
      <c r="G7" s="78"/>
      <c r="H7" s="3"/>
      <c r="I7" s="1"/>
    </row>
    <row r="8" spans="1:9" ht="15.75" x14ac:dyDescent="0.25">
      <c r="A8" s="1"/>
      <c r="B8" s="1"/>
      <c r="C8" s="4"/>
      <c r="D8" s="83" t="s">
        <v>235</v>
      </c>
      <c r="E8" s="83"/>
      <c r="F8" s="83"/>
      <c r="G8" s="83"/>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2" t="s">
        <v>5</v>
      </c>
      <c r="E11" s="82"/>
      <c r="F11" s="82"/>
      <c r="G11" s="82"/>
      <c r="H11" s="5"/>
      <c r="I11" s="1"/>
    </row>
    <row r="12" spans="1:9" x14ac:dyDescent="0.25">
      <c r="A12" s="1"/>
      <c r="B12" s="1"/>
      <c r="C12" s="1"/>
      <c r="D12" s="1"/>
      <c r="E12" s="1"/>
      <c r="F12" s="1"/>
      <c r="G12" s="1"/>
      <c r="H12" s="1"/>
      <c r="I12" s="1"/>
    </row>
    <row r="13" spans="1:9" x14ac:dyDescent="0.25">
      <c r="A13" s="1"/>
      <c r="B13" s="1"/>
      <c r="C13" s="6" t="s">
        <v>6</v>
      </c>
      <c r="D13" s="75" t="s">
        <v>162</v>
      </c>
      <c r="E13" s="76"/>
      <c r="F13" s="76"/>
      <c r="G13" s="77"/>
      <c r="H13" s="1"/>
      <c r="I13" s="1"/>
    </row>
    <row r="14" spans="1:9" x14ac:dyDescent="0.25">
      <c r="A14" s="1"/>
      <c r="B14" s="1"/>
      <c r="C14" s="6" t="s">
        <v>14</v>
      </c>
      <c r="D14" s="75" t="s">
        <v>197</v>
      </c>
      <c r="E14" s="76"/>
      <c r="F14" s="76"/>
      <c r="G14" s="77"/>
      <c r="H14" s="1"/>
      <c r="I14" s="1"/>
    </row>
    <row r="15" spans="1:9" x14ac:dyDescent="0.25">
      <c r="A15" s="1"/>
      <c r="B15" s="1"/>
      <c r="C15" s="6" t="s">
        <v>30</v>
      </c>
      <c r="D15" s="75" t="s">
        <v>141</v>
      </c>
      <c r="E15" s="76"/>
      <c r="F15" s="76"/>
      <c r="G15" s="77"/>
      <c r="H15" s="1"/>
      <c r="I15" s="1"/>
    </row>
    <row r="16" spans="1:9" x14ac:dyDescent="0.25">
      <c r="A16" s="1"/>
      <c r="B16" s="1"/>
      <c r="C16" s="6" t="s">
        <v>31</v>
      </c>
      <c r="D16" s="75" t="s">
        <v>194</v>
      </c>
      <c r="E16" s="76"/>
      <c r="F16" s="76"/>
      <c r="G16" s="77"/>
      <c r="H16" s="1"/>
      <c r="I16" s="1"/>
    </row>
    <row r="17" spans="1:9" x14ac:dyDescent="0.25">
      <c r="A17" s="1"/>
      <c r="B17" s="1"/>
      <c r="C17" s="6" t="s">
        <v>102</v>
      </c>
      <c r="D17" s="75" t="s">
        <v>195</v>
      </c>
      <c r="E17" s="76"/>
      <c r="F17" s="76"/>
      <c r="G17" s="77"/>
      <c r="H17" s="1"/>
      <c r="I17" s="1"/>
    </row>
    <row r="18" spans="1:9" x14ac:dyDescent="0.25">
      <c r="A18" s="1"/>
      <c r="B18" s="1"/>
      <c r="C18" s="6" t="s">
        <v>86</v>
      </c>
      <c r="D18" s="84" t="s">
        <v>79</v>
      </c>
      <c r="E18" s="85"/>
      <c r="F18" s="85"/>
      <c r="G18" s="86"/>
      <c r="H18" s="1"/>
      <c r="I18" s="1"/>
    </row>
    <row r="19" spans="1:9" x14ac:dyDescent="0.25">
      <c r="A19" s="1"/>
      <c r="B19" s="1"/>
      <c r="C19" s="6" t="s">
        <v>87</v>
      </c>
      <c r="D19" s="84" t="s">
        <v>80</v>
      </c>
      <c r="E19" s="85"/>
      <c r="F19" s="85"/>
      <c r="G19" s="86"/>
      <c r="H19" s="1"/>
      <c r="I19" s="1"/>
    </row>
    <row r="20" spans="1:9" x14ac:dyDescent="0.25">
      <c r="A20" s="1"/>
      <c r="B20" s="1"/>
      <c r="C20" s="6" t="s">
        <v>7</v>
      </c>
      <c r="D20" s="84" t="s">
        <v>9</v>
      </c>
      <c r="E20" s="85"/>
      <c r="F20" s="85"/>
      <c r="G20" s="86"/>
      <c r="H20" s="1"/>
      <c r="I20" s="1"/>
    </row>
    <row r="21" spans="1:9" x14ac:dyDescent="0.25">
      <c r="A21" s="1"/>
      <c r="B21" s="1"/>
      <c r="C21" s="6" t="s">
        <v>88</v>
      </c>
      <c r="D21" s="90" t="s">
        <v>11</v>
      </c>
      <c r="E21" s="91"/>
      <c r="F21" s="91"/>
      <c r="G21" s="92"/>
      <c r="H21" s="1"/>
      <c r="I21" s="1"/>
    </row>
    <row r="22" spans="1:9" x14ac:dyDescent="0.25">
      <c r="A22" s="1"/>
      <c r="B22" s="1"/>
      <c r="C22" s="6" t="s">
        <v>73</v>
      </c>
      <c r="D22" s="79" t="s">
        <v>196</v>
      </c>
      <c r="E22" s="80"/>
      <c r="F22" s="80"/>
      <c r="G22" s="81"/>
      <c r="H22" s="1"/>
      <c r="I22" s="1"/>
    </row>
    <row r="23" spans="1:9" x14ac:dyDescent="0.25">
      <c r="A23" s="1"/>
      <c r="B23" s="1"/>
      <c r="C23" s="6" t="s">
        <v>8</v>
      </c>
      <c r="D23" s="79" t="s">
        <v>176</v>
      </c>
      <c r="E23" s="80"/>
      <c r="F23" s="80"/>
      <c r="G23" s="81"/>
      <c r="H23" s="1"/>
      <c r="I23" s="1"/>
    </row>
    <row r="24" spans="1:9" x14ac:dyDescent="0.25">
      <c r="A24" s="1"/>
      <c r="B24" s="1"/>
      <c r="C24" s="6" t="s">
        <v>172</v>
      </c>
      <c r="D24" s="79" t="s">
        <v>163</v>
      </c>
      <c r="E24" s="80"/>
      <c r="F24" s="80"/>
      <c r="G24" s="81"/>
      <c r="H24" s="1"/>
      <c r="I24" s="1"/>
    </row>
    <row r="25" spans="1:9" x14ac:dyDescent="0.25">
      <c r="A25" s="1"/>
      <c r="B25" s="1"/>
      <c r="C25" s="6" t="s">
        <v>173</v>
      </c>
      <c r="D25" s="79" t="s">
        <v>74</v>
      </c>
      <c r="E25" s="80"/>
      <c r="F25" s="80"/>
      <c r="G25" s="81"/>
      <c r="H25" s="1"/>
      <c r="I25" s="1"/>
    </row>
    <row r="26" spans="1:9" x14ac:dyDescent="0.25">
      <c r="A26" s="1"/>
      <c r="B26" s="1"/>
      <c r="C26" s="6" t="s">
        <v>174</v>
      </c>
      <c r="D26" s="79" t="s">
        <v>75</v>
      </c>
      <c r="E26" s="80"/>
      <c r="F26" s="80"/>
      <c r="G26" s="81"/>
      <c r="H26" s="1"/>
      <c r="I26" s="1"/>
    </row>
    <row r="27" spans="1:9" x14ac:dyDescent="0.25">
      <c r="A27" s="1"/>
      <c r="B27" s="1"/>
      <c r="C27" s="6" t="s">
        <v>89</v>
      </c>
      <c r="D27" s="79" t="s">
        <v>103</v>
      </c>
      <c r="E27" s="80"/>
      <c r="F27" s="80"/>
      <c r="G27" s="81"/>
      <c r="H27" s="1"/>
      <c r="I27" s="1"/>
    </row>
    <row r="28" spans="1:9" x14ac:dyDescent="0.25">
      <c r="A28" s="1"/>
      <c r="B28" s="1"/>
      <c r="C28" s="6" t="s">
        <v>83</v>
      </c>
      <c r="D28" s="79" t="s">
        <v>32</v>
      </c>
      <c r="E28" s="80"/>
      <c r="F28" s="80"/>
      <c r="G28" s="81"/>
      <c r="H28" s="1"/>
      <c r="I28" s="1"/>
    </row>
    <row r="29" spans="1:9" x14ac:dyDescent="0.25">
      <c r="A29" s="1"/>
      <c r="B29" s="1"/>
      <c r="C29" s="6" t="s">
        <v>175</v>
      </c>
      <c r="D29" s="87" t="s">
        <v>84</v>
      </c>
      <c r="E29" s="88"/>
      <c r="F29" s="88"/>
      <c r="G29" s="89"/>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3RhjGLRwFC9vcnIHZgmXOBr7mxnHj6MofFO7tIJCpB2e22k1rq1VkNuQ1nw3x6UWEm123pbAhRLFxvHDuuURRg==" saltValue="G6uyAMLGBy/kqIwb9eohmQ=="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3" t="s">
        <v>92</v>
      </c>
      <c r="C3" s="93"/>
      <c r="D3" s="93"/>
      <c r="E3" s="1"/>
      <c r="F3" s="1"/>
    </row>
    <row r="4" spans="1:6" ht="15" customHeight="1" x14ac:dyDescent="0.25">
      <c r="A4" s="1"/>
      <c r="B4" s="93"/>
      <c r="C4" s="93"/>
      <c r="D4" s="9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3" t="s">
        <v>226</v>
      </c>
      <c r="C8" s="104"/>
      <c r="D8" s="105"/>
      <c r="E8" s="1"/>
      <c r="F8" s="1"/>
    </row>
    <row r="9" spans="1:6" ht="15" customHeight="1" x14ac:dyDescent="0.25">
      <c r="A9" s="1"/>
      <c r="B9" s="32" t="s">
        <v>28</v>
      </c>
      <c r="C9" s="11" t="s">
        <v>212</v>
      </c>
      <c r="D9" s="11"/>
      <c r="E9" s="1"/>
      <c r="F9" s="1"/>
    </row>
    <row r="10" spans="1:6" ht="15" customHeight="1" x14ac:dyDescent="0.25">
      <c r="A10" s="1"/>
      <c r="B10" s="67" t="s">
        <v>246</v>
      </c>
      <c r="C10" s="9">
        <v>5188268</v>
      </c>
      <c r="D10" s="14" t="s">
        <v>3</v>
      </c>
      <c r="E10" s="1"/>
      <c r="F10" s="1"/>
    </row>
    <row r="11" spans="1:6" x14ac:dyDescent="0.25">
      <c r="A11" s="1"/>
      <c r="B11" s="67" t="s">
        <v>247</v>
      </c>
      <c r="C11" s="9">
        <v>69031</v>
      </c>
      <c r="D11" s="14" t="s">
        <v>3</v>
      </c>
      <c r="E11" s="1"/>
      <c r="F11" s="1"/>
    </row>
    <row r="12" spans="1:6" ht="26.25" x14ac:dyDescent="0.25">
      <c r="A12" s="1"/>
      <c r="B12" s="54" t="s">
        <v>248</v>
      </c>
      <c r="C12" s="9">
        <v>1219584</v>
      </c>
      <c r="D12" s="14" t="s">
        <v>3</v>
      </c>
      <c r="E12" s="1"/>
      <c r="F12" s="1"/>
    </row>
    <row r="13" spans="1:6" x14ac:dyDescent="0.25">
      <c r="A13" s="1"/>
      <c r="B13" s="67" t="s">
        <v>249</v>
      </c>
      <c r="C13" s="9">
        <v>80249</v>
      </c>
      <c r="D13" s="14" t="s">
        <v>3</v>
      </c>
      <c r="E13" s="1"/>
      <c r="F13" s="1"/>
    </row>
    <row r="14" spans="1:6" x14ac:dyDescent="0.25">
      <c r="A14" s="1"/>
      <c r="B14" s="67"/>
      <c r="C14" s="9"/>
      <c r="D14" s="14" t="s">
        <v>3</v>
      </c>
      <c r="E14" s="1"/>
      <c r="F14" s="1"/>
    </row>
    <row r="15" spans="1:6" x14ac:dyDescent="0.25">
      <c r="A15" s="1"/>
      <c r="B15" s="67"/>
      <c r="C15" s="9"/>
      <c r="D15" s="14" t="s">
        <v>3</v>
      </c>
      <c r="E15" s="1"/>
      <c r="F15" s="1"/>
    </row>
    <row r="16" spans="1:6" x14ac:dyDescent="0.25">
      <c r="A16" s="1"/>
      <c r="B16" s="67"/>
      <c r="C16" s="9"/>
      <c r="D16" s="14" t="s">
        <v>3</v>
      </c>
      <c r="E16" s="1"/>
      <c r="F16" s="1"/>
    </row>
    <row r="17" spans="1:6" x14ac:dyDescent="0.25">
      <c r="A17" s="1"/>
      <c r="B17" s="67"/>
      <c r="C17" s="9"/>
      <c r="D17" s="14" t="s">
        <v>3</v>
      </c>
      <c r="E17" s="1"/>
      <c r="F17" s="1"/>
    </row>
    <row r="18" spans="1:6" x14ac:dyDescent="0.25">
      <c r="A18" s="1"/>
      <c r="B18" s="67"/>
      <c r="C18" s="9"/>
      <c r="D18" s="14" t="s">
        <v>3</v>
      </c>
      <c r="E18" s="1"/>
      <c r="F18" s="1"/>
    </row>
    <row r="19" spans="1:6" x14ac:dyDescent="0.25">
      <c r="A19" s="1"/>
      <c r="B19" s="51" t="s">
        <v>213</v>
      </c>
      <c r="C19" s="12">
        <f>SUM(C10:C18)</f>
        <v>6557132</v>
      </c>
      <c r="D19" s="13" t="s">
        <v>3</v>
      </c>
      <c r="E19" s="1"/>
      <c r="F19" s="1"/>
    </row>
    <row r="20" spans="1:6" x14ac:dyDescent="0.25">
      <c r="A20" s="1"/>
      <c r="B20" s="51" t="s">
        <v>214</v>
      </c>
      <c r="C20" s="12">
        <f>C19*(1+'Fane 13. Nøgletal'!C16)^2</f>
        <v>7659573.6854604799</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pAmd1kVWdp0o/1sV+xzyYawiWqQj8761umV0Sq5hhLI3NeM18QsJ3HY9y6Vazf9ekwpeG/h6zPitJzXDuqcEhw==" saltValue="Em0v76XeRr4xCwM3YJHUH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6" t="s">
        <v>227</v>
      </c>
      <c r="C3" s="96"/>
      <c r="D3" s="96"/>
      <c r="E3" s="96"/>
      <c r="F3" s="96"/>
      <c r="G3" s="1"/>
    </row>
    <row r="4" spans="1:7" ht="15" customHeight="1" x14ac:dyDescent="0.25">
      <c r="A4" s="1"/>
      <c r="B4" s="96"/>
      <c r="C4" s="96"/>
      <c r="D4" s="96"/>
      <c r="E4" s="96"/>
      <c r="F4" s="96"/>
      <c r="G4" s="1"/>
    </row>
    <row r="5" spans="1:7" ht="15" customHeight="1" x14ac:dyDescent="0.25">
      <c r="A5" s="1"/>
      <c r="B5" s="60"/>
      <c r="C5" s="60"/>
      <c r="D5" s="60"/>
      <c r="E5" s="60"/>
      <c r="F5" s="60"/>
      <c r="G5" s="1"/>
    </row>
    <row r="6" spans="1:7" ht="15" customHeight="1" x14ac:dyDescent="0.25">
      <c r="A6" s="1"/>
      <c r="B6" s="60"/>
      <c r="C6" s="60"/>
      <c r="D6" s="60"/>
      <c r="E6" s="60"/>
      <c r="F6" s="60"/>
      <c r="G6" s="1"/>
    </row>
    <row r="7" spans="1:7" x14ac:dyDescent="0.25">
      <c r="A7" s="1"/>
      <c r="B7" s="1"/>
      <c r="C7" s="1"/>
      <c r="D7" s="1"/>
      <c r="E7" s="1"/>
      <c r="F7" s="1"/>
      <c r="G7" s="1"/>
    </row>
    <row r="8" spans="1:7" x14ac:dyDescent="0.25">
      <c r="A8" s="1"/>
      <c r="B8" s="103" t="s">
        <v>250</v>
      </c>
      <c r="C8" s="104"/>
      <c r="D8" s="104"/>
      <c r="E8" s="104"/>
      <c r="F8" s="105"/>
      <c r="G8" s="1"/>
    </row>
    <row r="9" spans="1:7" x14ac:dyDescent="0.25">
      <c r="A9" s="1"/>
      <c r="B9" s="97" t="s">
        <v>251</v>
      </c>
      <c r="C9" s="98"/>
      <c r="D9" s="99"/>
      <c r="E9" s="28">
        <v>-475535.07738399506</v>
      </c>
      <c r="F9" s="14" t="s">
        <v>3</v>
      </c>
      <c r="G9" s="1"/>
    </row>
    <row r="10" spans="1:7" x14ac:dyDescent="0.25">
      <c r="A10" s="1"/>
      <c r="B10" s="51"/>
      <c r="C10" s="52"/>
      <c r="D10" s="52"/>
      <c r="E10" s="52"/>
      <c r="F10" s="19"/>
      <c r="G10" s="1"/>
    </row>
    <row r="11" spans="1:7" ht="52.5" customHeight="1" x14ac:dyDescent="0.25">
      <c r="A11" s="1"/>
      <c r="B11" s="115" t="s">
        <v>252</v>
      </c>
      <c r="C11" s="116"/>
      <c r="D11" s="116"/>
      <c r="E11" s="116"/>
      <c r="F11" s="117"/>
      <c r="G11" s="1"/>
    </row>
    <row r="12" spans="1:7" x14ac:dyDescent="0.25">
      <c r="A12" s="1"/>
      <c r="B12" s="1"/>
      <c r="C12" s="1"/>
      <c r="D12" s="1"/>
      <c r="E12" s="1"/>
      <c r="F12" s="1"/>
      <c r="G12" s="1"/>
    </row>
    <row r="13" spans="1:7" x14ac:dyDescent="0.25">
      <c r="A13" s="1"/>
      <c r="B13" s="103" t="s">
        <v>140</v>
      </c>
      <c r="C13" s="104"/>
      <c r="D13" s="104"/>
      <c r="E13" s="104"/>
      <c r="F13" s="105"/>
      <c r="G13" s="1"/>
    </row>
    <row r="14" spans="1:7" x14ac:dyDescent="0.25">
      <c r="A14" s="1"/>
      <c r="B14" s="97" t="s">
        <v>253</v>
      </c>
      <c r="C14" s="98"/>
      <c r="D14" s="99"/>
      <c r="E14" s="9">
        <v>-128588.19321169704</v>
      </c>
      <c r="F14" s="14" t="s">
        <v>3</v>
      </c>
      <c r="G14" s="1"/>
    </row>
    <row r="15" spans="1:7" x14ac:dyDescent="0.25">
      <c r="A15" s="1"/>
      <c r="B15" s="97" t="s">
        <v>254</v>
      </c>
      <c r="C15" s="98"/>
      <c r="D15" s="99"/>
      <c r="E15" s="9">
        <v>-128588.19321169704</v>
      </c>
      <c r="F15" s="14" t="s">
        <v>3</v>
      </c>
      <c r="G15" s="1"/>
    </row>
    <row r="16" spans="1:7" x14ac:dyDescent="0.25">
      <c r="A16" s="1"/>
      <c r="B16" s="51"/>
      <c r="C16" s="52"/>
      <c r="D16" s="52"/>
      <c r="E16" s="52"/>
      <c r="F16" s="19"/>
      <c r="G16" s="1"/>
    </row>
    <row r="17" spans="1:7" ht="33" customHeight="1" x14ac:dyDescent="0.25">
      <c r="A17" s="1"/>
      <c r="B17" s="115" t="s">
        <v>255</v>
      </c>
      <c r="C17" s="116"/>
      <c r="D17" s="116"/>
      <c r="E17" s="116"/>
      <c r="F17" s="117"/>
      <c r="G17" s="1"/>
    </row>
    <row r="18" spans="1:7" x14ac:dyDescent="0.25">
      <c r="A18" s="1"/>
      <c r="B18" s="1"/>
      <c r="C18" s="1"/>
      <c r="D18" s="1"/>
      <c r="E18" s="1"/>
      <c r="F18" s="1"/>
      <c r="G18" s="1"/>
    </row>
    <row r="19" spans="1:7" x14ac:dyDescent="0.25">
      <c r="A19" s="1"/>
      <c r="B19" s="61" t="s">
        <v>256</v>
      </c>
      <c r="C19" s="62"/>
      <c r="D19" s="62"/>
      <c r="E19" s="62"/>
      <c r="F19" s="63"/>
      <c r="G19" s="1"/>
    </row>
    <row r="20" spans="1:7" x14ac:dyDescent="0.25">
      <c r="A20" s="1"/>
      <c r="B20" s="64" t="s">
        <v>257</v>
      </c>
      <c r="C20" s="65"/>
      <c r="D20" s="66"/>
      <c r="E20" s="9">
        <v>18142020.56783732</v>
      </c>
      <c r="F20" s="14" t="s">
        <v>3</v>
      </c>
      <c r="G20" s="1"/>
    </row>
    <row r="21" spans="1:7" x14ac:dyDescent="0.25">
      <c r="A21" s="1"/>
      <c r="B21" s="64" t="s">
        <v>258</v>
      </c>
      <c r="C21" s="65"/>
      <c r="D21" s="66"/>
      <c r="E21" s="9">
        <v>17784125</v>
      </c>
      <c r="F21" s="14" t="s">
        <v>3</v>
      </c>
      <c r="G21" s="1"/>
    </row>
    <row r="22" spans="1:7" x14ac:dyDescent="0.25">
      <c r="A22" s="1"/>
      <c r="B22" s="64" t="s">
        <v>29</v>
      </c>
      <c r="C22" s="65"/>
      <c r="D22" s="66"/>
      <c r="E22" s="9">
        <v>0</v>
      </c>
      <c r="F22" s="14" t="s">
        <v>3</v>
      </c>
      <c r="G22" s="1"/>
    </row>
    <row r="23" spans="1:7" x14ac:dyDescent="0.25">
      <c r="A23" s="1"/>
      <c r="B23" s="69" t="s">
        <v>259</v>
      </c>
      <c r="C23" s="70"/>
      <c r="D23" s="71"/>
      <c r="E23" s="10">
        <f>E20-(E21-E22)</f>
        <v>357895.56783732027</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103" t="s">
        <v>260</v>
      </c>
      <c r="C26" s="104"/>
      <c r="D26" s="104"/>
      <c r="E26" s="104"/>
      <c r="F26" s="105"/>
      <c r="G26" s="1"/>
    </row>
    <row r="27" spans="1:7" x14ac:dyDescent="0.25">
      <c r="A27" s="1"/>
      <c r="B27" s="122" t="s">
        <v>261</v>
      </c>
      <c r="C27" s="123"/>
      <c r="D27" s="124"/>
      <c r="E27" s="58">
        <f>IF(AND(E15&lt;0,E23&gt;0,ABS(SUM(E14:E15))&lt;E23),ABS(E14),IF(AND(E15&lt;0,E23&gt;0,ABS(SUM(E14:E15))&gt;E23),SUM(E14,E23),0))</f>
        <v>128588.19321169704</v>
      </c>
      <c r="F27" s="17" t="s">
        <v>3</v>
      </c>
      <c r="G27" s="1"/>
    </row>
    <row r="28" spans="1:7" x14ac:dyDescent="0.25">
      <c r="A28" s="1"/>
      <c r="B28" s="103"/>
      <c r="C28" s="104"/>
      <c r="D28" s="104"/>
      <c r="E28" s="104"/>
      <c r="F28" s="105"/>
      <c r="G28" s="1"/>
    </row>
    <row r="29" spans="1:7" x14ac:dyDescent="0.25">
      <c r="A29" s="1"/>
      <c r="B29" s="1"/>
      <c r="C29" s="1"/>
      <c r="D29" s="1"/>
      <c r="E29" s="1"/>
      <c r="F29" s="1"/>
      <c r="G29" s="1"/>
    </row>
    <row r="30" spans="1:7" x14ac:dyDescent="0.25">
      <c r="A30" s="1"/>
      <c r="B30" s="103" t="s">
        <v>262</v>
      </c>
      <c r="C30" s="104"/>
      <c r="D30" s="104"/>
      <c r="E30" s="104"/>
      <c r="F30" s="105"/>
      <c r="G30" s="1"/>
    </row>
    <row r="31" spans="1:7" x14ac:dyDescent="0.25">
      <c r="A31" s="1"/>
      <c r="B31" s="125" t="s">
        <v>117</v>
      </c>
      <c r="C31" s="126"/>
      <c r="D31" s="127"/>
      <c r="E31" s="59">
        <f>IF(AND(E9&gt;0,(E9+E23)&gt;0),0,IF(AND(E9&gt;0,(E9+E23)&lt;0),(E9+E23),IF(AND(E9&lt;0,E23&lt;0),E23,0)))</f>
        <v>0</v>
      </c>
      <c r="F31" s="14" t="s">
        <v>3</v>
      </c>
      <c r="G31" s="1"/>
    </row>
    <row r="32" spans="1:7" x14ac:dyDescent="0.25">
      <c r="A32" s="1"/>
      <c r="B32" s="125" t="s">
        <v>85</v>
      </c>
      <c r="C32" s="126"/>
      <c r="D32" s="127"/>
      <c r="E32" s="9">
        <v>2</v>
      </c>
      <c r="F32" s="14" t="s">
        <v>18</v>
      </c>
      <c r="G32" s="1"/>
    </row>
    <row r="33" spans="1:7" x14ac:dyDescent="0.25">
      <c r="A33" s="1"/>
      <c r="B33" s="118" t="s">
        <v>116</v>
      </c>
      <c r="C33" s="118"/>
      <c r="D33" s="118"/>
      <c r="E33" s="58">
        <f>E31/E32</f>
        <v>0</v>
      </c>
      <c r="F33" s="17" t="s">
        <v>3</v>
      </c>
      <c r="G33" s="1"/>
    </row>
    <row r="34" spans="1:7" x14ac:dyDescent="0.25">
      <c r="A34" s="1"/>
      <c r="B34" s="119"/>
      <c r="C34" s="120"/>
      <c r="D34" s="120"/>
      <c r="E34" s="120"/>
      <c r="F34" s="12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zu/fF6tVLJYMQ/MXVHG9VYgnVS7yyE8/BL7CB1lLdW0TR+/eIy1qHS/fga3qmqq+usBPB9Wt+xwwQPyTTqNDRw==" saltValue="4nd+wzn6fUz8iPbH8jK6hQ==" spinCount="100000" sheet="1" objects="1" scenarios="1"/>
  <mergeCells count="16">
    <mergeCell ref="B33:D33"/>
    <mergeCell ref="B34:F34"/>
    <mergeCell ref="B14:D14"/>
    <mergeCell ref="B15:D15"/>
    <mergeCell ref="B17:F17"/>
    <mergeCell ref="B26:F26"/>
    <mergeCell ref="B27:D27"/>
    <mergeCell ref="B31:D31"/>
    <mergeCell ref="B28:F28"/>
    <mergeCell ref="B30:F30"/>
    <mergeCell ref="B32:D32"/>
    <mergeCell ref="B13:F13"/>
    <mergeCell ref="B3:F4"/>
    <mergeCell ref="B8:F8"/>
    <mergeCell ref="B9:D9"/>
    <mergeCell ref="B11:F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3" t="s">
        <v>183</v>
      </c>
      <c r="C3" s="93"/>
      <c r="D3" s="93"/>
      <c r="E3" s="93"/>
      <c r="F3" s="93"/>
      <c r="G3" s="93"/>
      <c r="H3" s="93"/>
      <c r="I3" s="1"/>
    </row>
    <row r="4" spans="1:9" ht="15" customHeight="1" x14ac:dyDescent="0.25">
      <c r="A4" s="1"/>
      <c r="B4" s="93"/>
      <c r="C4" s="93"/>
      <c r="D4" s="93"/>
      <c r="E4" s="93"/>
      <c r="F4" s="93"/>
      <c r="G4" s="93"/>
      <c r="H4" s="9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3" t="s">
        <v>184</v>
      </c>
      <c r="C8" s="104"/>
      <c r="D8" s="104"/>
      <c r="E8" s="104"/>
      <c r="F8" s="104"/>
      <c r="G8" s="104"/>
      <c r="H8" s="105"/>
      <c r="I8" s="1"/>
    </row>
    <row r="9" spans="1:9" ht="15" customHeight="1" x14ac:dyDescent="0.25">
      <c r="A9" s="1"/>
      <c r="B9" s="128" t="s">
        <v>234</v>
      </c>
      <c r="C9" s="129"/>
      <c r="D9" s="129"/>
      <c r="E9" s="129"/>
      <c r="F9" s="129"/>
      <c r="G9" s="129"/>
      <c r="H9" s="130"/>
      <c r="I9" s="1"/>
    </row>
    <row r="10" spans="1:9" x14ac:dyDescent="0.25">
      <c r="A10" s="1"/>
      <c r="B10" s="131" t="s">
        <v>185</v>
      </c>
      <c r="C10" s="132"/>
      <c r="D10" s="132"/>
      <c r="E10" s="132"/>
      <c r="F10" s="133"/>
      <c r="G10" s="45"/>
      <c r="H10" s="9" t="s">
        <v>3</v>
      </c>
      <c r="I10" s="1"/>
    </row>
    <row r="11" spans="1:9" x14ac:dyDescent="0.25">
      <c r="A11" s="1"/>
      <c r="B11" s="131" t="s">
        <v>186</v>
      </c>
      <c r="C11" s="132"/>
      <c r="D11" s="132"/>
      <c r="E11" s="132"/>
      <c r="F11" s="133"/>
      <c r="G11" s="45"/>
      <c r="H11" s="9" t="s">
        <v>3</v>
      </c>
      <c r="I11" s="1"/>
    </row>
    <row r="12" spans="1:9" x14ac:dyDescent="0.25">
      <c r="A12" s="1"/>
      <c r="B12" s="131" t="s">
        <v>187</v>
      </c>
      <c r="C12" s="132"/>
      <c r="D12" s="132"/>
      <c r="E12" s="132"/>
      <c r="F12" s="133"/>
      <c r="G12" s="9"/>
      <c r="H12" s="9" t="s">
        <v>3</v>
      </c>
      <c r="I12" s="1"/>
    </row>
    <row r="13" spans="1:9" x14ac:dyDescent="0.25">
      <c r="A13" s="1"/>
      <c r="B13" s="131" t="s">
        <v>188</v>
      </c>
      <c r="C13" s="132"/>
      <c r="D13" s="132"/>
      <c r="E13" s="132"/>
      <c r="F13" s="133"/>
      <c r="G13" s="9"/>
      <c r="H13" s="9" t="s">
        <v>3</v>
      </c>
      <c r="I13" s="1"/>
    </row>
    <row r="14" spans="1:9" x14ac:dyDescent="0.25">
      <c r="A14" s="1"/>
      <c r="B14" s="131" t="s">
        <v>189</v>
      </c>
      <c r="C14" s="132"/>
      <c r="D14" s="132"/>
      <c r="E14" s="132"/>
      <c r="F14" s="133"/>
      <c r="G14" s="9"/>
      <c r="H14" s="9" t="s">
        <v>3</v>
      </c>
      <c r="I14" s="1"/>
    </row>
    <row r="15" spans="1:9" x14ac:dyDescent="0.25">
      <c r="A15" s="1"/>
      <c r="B15" s="131" t="s">
        <v>190</v>
      </c>
      <c r="C15" s="132"/>
      <c r="D15" s="132"/>
      <c r="E15" s="132"/>
      <c r="F15" s="133"/>
      <c r="G15" s="9"/>
      <c r="H15" s="9" t="s">
        <v>3</v>
      </c>
      <c r="I15" s="1"/>
    </row>
    <row r="16" spans="1:9" x14ac:dyDescent="0.25">
      <c r="A16" s="1"/>
      <c r="B16" s="131" t="s">
        <v>191</v>
      </c>
      <c r="C16" s="132"/>
      <c r="D16" s="132"/>
      <c r="E16" s="132"/>
      <c r="F16" s="133"/>
      <c r="G16" s="9"/>
      <c r="H16" s="9" t="s">
        <v>3</v>
      </c>
      <c r="I16" s="1"/>
    </row>
    <row r="17" spans="1:9" x14ac:dyDescent="0.25">
      <c r="A17" s="1"/>
      <c r="B17" s="131" t="s">
        <v>192</v>
      </c>
      <c r="C17" s="132"/>
      <c r="D17" s="132"/>
      <c r="E17" s="132"/>
      <c r="F17" s="133"/>
      <c r="G17" s="9"/>
      <c r="H17" s="9" t="s">
        <v>3</v>
      </c>
      <c r="I17" s="1"/>
    </row>
    <row r="18" spans="1:9" x14ac:dyDescent="0.25">
      <c r="A18" s="1"/>
      <c r="B18" s="103" t="s">
        <v>193</v>
      </c>
      <c r="C18" s="104"/>
      <c r="D18" s="104"/>
      <c r="E18" s="104"/>
      <c r="F18" s="105"/>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nMBRc/0Z42IFSbNhRjMPkbU1wr/84J47qHD5vFVVnsPUI9FJvnH/o54cu/M9a6punelohXfKjedPIKxT/Ogrfw==" saltValue="QyCHf4owmjaXz3N7pqLFL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3" t="s">
        <v>177</v>
      </c>
      <c r="C3" s="93"/>
      <c r="D3" s="93"/>
      <c r="E3" s="93"/>
      <c r="F3" s="93"/>
      <c r="G3" s="93"/>
      <c r="H3" s="93"/>
      <c r="I3" s="93"/>
      <c r="J3" s="93"/>
      <c r="K3" s="93"/>
      <c r="L3" s="1"/>
    </row>
    <row r="4" spans="1:12" ht="15" customHeight="1" x14ac:dyDescent="0.25">
      <c r="A4" s="1"/>
      <c r="B4" s="93"/>
      <c r="C4" s="93"/>
      <c r="D4" s="93"/>
      <c r="E4" s="93"/>
      <c r="F4" s="93"/>
      <c r="G4" s="93"/>
      <c r="H4" s="93"/>
      <c r="I4" s="93"/>
      <c r="J4" s="93"/>
      <c r="K4" s="9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3" t="s">
        <v>155</v>
      </c>
      <c r="C8" s="104"/>
      <c r="D8" s="104"/>
      <c r="E8" s="104"/>
      <c r="F8" s="104"/>
      <c r="G8" s="104"/>
      <c r="H8" s="104"/>
      <c r="I8" s="104"/>
      <c r="J8" s="104"/>
      <c r="K8" s="105"/>
      <c r="L8" s="1"/>
    </row>
    <row r="9" spans="1:12" ht="39.75" customHeight="1" x14ac:dyDescent="0.25">
      <c r="A9" s="1"/>
      <c r="B9" s="18" t="s">
        <v>0</v>
      </c>
      <c r="C9" s="18" t="s">
        <v>1</v>
      </c>
      <c r="D9" s="134" t="s">
        <v>170</v>
      </c>
      <c r="E9" s="135"/>
      <c r="F9" s="134" t="s">
        <v>2</v>
      </c>
      <c r="G9" s="135"/>
      <c r="H9" s="134" t="s">
        <v>171</v>
      </c>
      <c r="I9" s="135"/>
      <c r="J9" s="134" t="s">
        <v>26</v>
      </c>
      <c r="K9" s="135"/>
      <c r="L9" s="1"/>
    </row>
    <row r="10" spans="1:12" x14ac:dyDescent="0.25">
      <c r="A10" s="1"/>
      <c r="B10" s="74"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63"/>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A+HTLrru+Cqtflq+b51e6eKcXHlT/Iif0Zpnin+0/ifzJQasVdqd65vUKTZMFaBN58uuo6EdgIOrHyR21bOJAg==" saltValue="2p/QYxEn999JD+6ARhe4S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178</v>
      </c>
      <c r="C3" s="93"/>
      <c r="D3" s="93"/>
      <c r="E3" s="93"/>
      <c r="F3" s="93"/>
      <c r="G3" s="1"/>
    </row>
    <row r="4" spans="1:7" ht="1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2" t="s">
        <v>15</v>
      </c>
      <c r="C9" s="72" t="s">
        <v>10</v>
      </c>
      <c r="D9" s="73"/>
      <c r="E9" s="72"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243</v>
      </c>
      <c r="C11" s="21">
        <v>35312</v>
      </c>
      <c r="D11" s="14" t="s">
        <v>3</v>
      </c>
      <c r="E11" s="9">
        <v>364678</v>
      </c>
      <c r="F11" s="14" t="s">
        <v>3</v>
      </c>
      <c r="G11" s="1"/>
    </row>
    <row r="12" spans="1:7" x14ac:dyDescent="0.25">
      <c r="A12" s="1"/>
      <c r="B12" s="27" t="s">
        <v>244</v>
      </c>
      <c r="C12" s="21">
        <v>363034</v>
      </c>
      <c r="D12" s="14" t="s">
        <v>3</v>
      </c>
      <c r="E12" s="9">
        <v>0</v>
      </c>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1" t="s">
        <v>151</v>
      </c>
      <c r="C17" s="12">
        <f>SUM(C10:C16)</f>
        <v>398346</v>
      </c>
      <c r="D17" s="13" t="s">
        <v>3</v>
      </c>
      <c r="E17" s="12">
        <f>SUM(E10:E16)</f>
        <v>364678</v>
      </c>
      <c r="F17" s="13" t="s">
        <v>3</v>
      </c>
      <c r="G17" s="1"/>
    </row>
    <row r="18" spans="1:7" x14ac:dyDescent="0.25">
      <c r="A18" s="1"/>
      <c r="B18" s="51" t="s">
        <v>209</v>
      </c>
      <c r="C18" s="12">
        <f>C17*(1+'Fane 13. Nøgletal'!C16)</f>
        <v>430532.35680000001</v>
      </c>
      <c r="D18" s="13" t="s">
        <v>3</v>
      </c>
      <c r="E18" s="12">
        <f>E17*(1+'Fane 13. Nøgletal'!C16)</f>
        <v>394143.98239999998</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4roS02l+Kwmlr8lH+L8CLxlrroH8ZmwovoFOxCKLX+r85gUJgo3YIedwIvYIxVQF8pQFHbwaXJRPxjtPjYPwQA==" saltValue="13sGGVLKcTAIFOU1RApYO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179</v>
      </c>
      <c r="C3" s="93"/>
      <c r="D3" s="93"/>
      <c r="E3" s="93"/>
      <c r="F3" s="93"/>
      <c r="G3" s="1"/>
    </row>
    <row r="4" spans="1:7" ht="1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3" t="s">
        <v>217</v>
      </c>
      <c r="C9" s="104"/>
      <c r="D9" s="104"/>
      <c r="E9" s="104"/>
      <c r="F9" s="105"/>
      <c r="G9" s="1"/>
    </row>
    <row r="10" spans="1:7" ht="26.25" x14ac:dyDescent="0.25">
      <c r="A10" s="1"/>
      <c r="B10" s="72" t="s">
        <v>15</v>
      </c>
      <c r="C10" s="72" t="s">
        <v>10</v>
      </c>
      <c r="D10" s="73"/>
      <c r="E10" s="72" t="s">
        <v>27</v>
      </c>
      <c r="F10" s="30"/>
      <c r="G10" s="1"/>
    </row>
    <row r="11" spans="1:7" x14ac:dyDescent="0.25">
      <c r="A11" s="1"/>
      <c r="B11" s="23" t="s">
        <v>245</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u6ZP+Ef6S9IfeJOnVCMLS0VgePuYMt5JSAAsEG6EFp1jrU2lnL8+5n8KWSL38x9S17duHL8WUhyJqSR0ozn4g==" saltValue="LVPudw5FVFRvEwJXpAy3M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180</v>
      </c>
      <c r="C3" s="96"/>
      <c r="D3" s="96"/>
      <c r="E3" s="96"/>
      <c r="F3" s="96"/>
      <c r="G3" s="1"/>
    </row>
    <row r="4" spans="1:7" ht="25.5" customHeight="1" x14ac:dyDescent="0.25">
      <c r="A4" s="1"/>
      <c r="B4" s="96"/>
      <c r="C4" s="96"/>
      <c r="D4" s="96"/>
      <c r="E4" s="96"/>
      <c r="F4" s="9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3" t="s">
        <v>104</v>
      </c>
      <c r="C8" s="104"/>
      <c r="D8" s="104"/>
      <c r="E8" s="104"/>
      <c r="F8" s="105"/>
      <c r="G8" s="1"/>
    </row>
    <row r="9" spans="1:7" ht="15" customHeight="1" x14ac:dyDescent="0.25">
      <c r="A9" s="1"/>
      <c r="B9" s="53" t="s">
        <v>105</v>
      </c>
      <c r="C9" s="128" t="s">
        <v>10</v>
      </c>
      <c r="D9" s="130"/>
      <c r="E9" s="128" t="s">
        <v>27</v>
      </c>
      <c r="F9" s="130"/>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0Spi1vtRaAy9l8GTH4aL4u/LqoeLukWqjNW93GHDg8J5cktKd9/kofDrbs+HEZ3KWV6d9uGssVCy0yfT1RJQmg==" saltValue="rkmtPFNparoxoLoxKYmni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181</v>
      </c>
      <c r="C3" s="96"/>
      <c r="D3" s="96"/>
      <c r="E3" s="96"/>
      <c r="F3" s="96"/>
      <c r="G3" s="1"/>
    </row>
    <row r="4" spans="1:7" ht="25.5" customHeight="1" x14ac:dyDescent="0.25">
      <c r="A4" s="1"/>
      <c r="B4" s="96"/>
      <c r="C4" s="96"/>
      <c r="D4" s="96"/>
      <c r="E4" s="96"/>
      <c r="F4" s="9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3" t="s">
        <v>237</v>
      </c>
      <c r="C10" s="104"/>
      <c r="D10" s="104"/>
      <c r="E10" s="104"/>
      <c r="F10" s="105"/>
      <c r="G10" s="1"/>
    </row>
    <row r="11" spans="1:7" ht="26.25" x14ac:dyDescent="0.25">
      <c r="A11" s="1"/>
      <c r="B11" s="53" t="s">
        <v>16</v>
      </c>
      <c r="C11" s="53" t="s">
        <v>10</v>
      </c>
      <c r="D11" s="30"/>
      <c r="E11" s="53" t="s">
        <v>27</v>
      </c>
      <c r="F11" s="30"/>
      <c r="G11" s="1"/>
    </row>
    <row r="12" spans="1:7" x14ac:dyDescent="0.25">
      <c r="A12" s="1"/>
      <c r="B12" s="57" t="s">
        <v>242</v>
      </c>
      <c r="C12" s="9">
        <v>0</v>
      </c>
      <c r="D12" s="14" t="s">
        <v>3</v>
      </c>
      <c r="E12" s="9">
        <v>0</v>
      </c>
      <c r="F12" s="14" t="s">
        <v>3</v>
      </c>
      <c r="G12" s="1"/>
    </row>
    <row r="13" spans="1:7" x14ac:dyDescent="0.25">
      <c r="A13" s="1"/>
      <c r="B13" s="51" t="s">
        <v>78</v>
      </c>
      <c r="C13" s="12">
        <f>SUM(C12:C12)</f>
        <v>0</v>
      </c>
      <c r="D13" s="13" t="s">
        <v>3</v>
      </c>
      <c r="E13" s="12">
        <f>SUM(E12:E12)</f>
        <v>0</v>
      </c>
      <c r="F13" s="13" t="s">
        <v>3</v>
      </c>
      <c r="G13" s="1"/>
    </row>
    <row r="14" spans="1:7" x14ac:dyDescent="0.25">
      <c r="A14" s="1"/>
      <c r="B14" s="51"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6RjJ9YFONcJOJvdgGv3NmZAkNBJkqcVEQlmUg6lr96kD6auUAyKshHhAxT7yx/KtaDNlwmcS1ojF5yk4d4M7Q==" saltValue="+ofrys6mKWME9YxNd0Ig4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6" t="s">
        <v>182</v>
      </c>
      <c r="C3" s="96"/>
      <c r="D3" s="1"/>
    </row>
    <row r="4" spans="1:4" ht="25.5" customHeight="1" x14ac:dyDescent="0.25">
      <c r="A4" s="1"/>
      <c r="B4" s="96"/>
      <c r="C4" s="96"/>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67" t="s">
        <v>93</v>
      </c>
      <c r="C9" s="40">
        <v>1.2699999999999999E-2</v>
      </c>
      <c r="D9" s="1"/>
    </row>
    <row r="10" spans="1:4" x14ac:dyDescent="0.25">
      <c r="A10" s="1"/>
      <c r="B10" s="67" t="s">
        <v>21</v>
      </c>
      <c r="C10" s="40">
        <v>1.7500000000000002E-2</v>
      </c>
      <c r="D10" s="1"/>
    </row>
    <row r="11" spans="1:4" x14ac:dyDescent="0.25">
      <c r="A11" s="1"/>
      <c r="B11" s="67"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3"/>
      <c r="C17" s="105"/>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67" t="s">
        <v>95</v>
      </c>
      <c r="C21" s="42">
        <v>9.1000000000000004E-3</v>
      </c>
      <c r="D21" s="1"/>
    </row>
    <row r="22" spans="1:4" x14ac:dyDescent="0.25">
      <c r="A22" s="1"/>
      <c r="B22" s="67" t="s">
        <v>96</v>
      </c>
      <c r="C22" s="42">
        <v>1.77E-2</v>
      </c>
      <c r="D22" s="1"/>
    </row>
    <row r="23" spans="1:4" x14ac:dyDescent="0.25">
      <c r="A23" s="1"/>
      <c r="B23" s="67" t="s">
        <v>97</v>
      </c>
      <c r="C23" s="42">
        <v>8.6999999999999994E-3</v>
      </c>
      <c r="D23" s="1"/>
    </row>
    <row r="24" spans="1:4" x14ac:dyDescent="0.25">
      <c r="A24" s="1"/>
      <c r="B24" s="67" t="s">
        <v>98</v>
      </c>
      <c r="C24" s="42">
        <v>2.8400000000000002E-2</v>
      </c>
      <c r="D24" s="1"/>
    </row>
    <row r="25" spans="1:4" x14ac:dyDescent="0.25">
      <c r="A25" s="1"/>
      <c r="B25" s="67" t="s">
        <v>111</v>
      </c>
      <c r="C25" s="42">
        <v>2.75E-2</v>
      </c>
      <c r="D25" s="1"/>
    </row>
    <row r="26" spans="1:4" x14ac:dyDescent="0.25">
      <c r="A26" s="1"/>
      <c r="B26" s="67"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67"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bXd/054G+XMOtpK/s2M4jUp+d7ZDVY7lC5YDWUi6oa2Gj/O1PrSvP2mcgGHi3jlOnnqfxGy4FceAlgT4HJhSxA==" saltValue="gPPlU4qhihiUdDvxzKxpDA=="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3" t="s">
        <v>198</v>
      </c>
      <c r="C3" s="93"/>
      <c r="D3" s="93"/>
      <c r="E3" s="1"/>
    </row>
    <row r="4" spans="1:5" ht="15" customHeight="1" x14ac:dyDescent="0.25">
      <c r="A4" s="1"/>
      <c r="B4" s="93"/>
      <c r="C4" s="93"/>
      <c r="D4" s="93"/>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12450714.6270878</v>
      </c>
      <c r="D8" s="8" t="s">
        <v>3</v>
      </c>
      <c r="E8" s="1"/>
    </row>
    <row r="9" spans="1:5" ht="17.100000000000001" customHeight="1" x14ac:dyDescent="0.25">
      <c r="A9" s="1"/>
      <c r="B9" s="24" t="s">
        <v>33</v>
      </c>
      <c r="C9" s="7">
        <f>'Fane 10.1. Varige tillæg'!C18</f>
        <v>430532.35680000001</v>
      </c>
      <c r="D9" s="8" t="s">
        <v>3</v>
      </c>
      <c r="E9" s="1"/>
    </row>
    <row r="10" spans="1:5" ht="17.100000000000001" customHeight="1" x14ac:dyDescent="0.25">
      <c r="A10" s="1"/>
      <c r="B10" s="24" t="s">
        <v>34</v>
      </c>
      <c r="C10" s="9">
        <f>'Fane 10.1. Varige tillæg'!E18</f>
        <v>394143.98239999998</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509879.28893168567</v>
      </c>
      <c r="D15" s="8" t="s">
        <v>3</v>
      </c>
      <c r="E15" s="1"/>
    </row>
    <row r="16" spans="1:5" ht="17.100000000000001" customHeight="1" x14ac:dyDescent="0.25">
      <c r="A16" s="1"/>
      <c r="B16" s="24" t="s">
        <v>9</v>
      </c>
      <c r="C16" s="9">
        <f>-SUM(C8,C9:C15)*'Fane 5. Individuelt eff. krav'!G9</f>
        <v>-148627.72464088511</v>
      </c>
      <c r="D16" s="8" t="s">
        <v>3</v>
      </c>
      <c r="E16" s="1"/>
    </row>
    <row r="17" spans="1:5" ht="17.100000000000001" customHeight="1" x14ac:dyDescent="0.25">
      <c r="A17" s="1"/>
      <c r="B17" s="24" t="s">
        <v>22</v>
      </c>
      <c r="C17" s="9">
        <f>-'Fane 4.1. Gen. krav - drift'!G49</f>
        <v>-157115.38327670458</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69" t="s">
        <v>19</v>
      </c>
      <c r="C19" s="10">
        <f>SUM(C8:C18)</f>
        <v>13479527.147301896</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7659573.6854604799</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69" t="s">
        <v>76</v>
      </c>
      <c r="C27" s="10">
        <f>SUM(C23:C26)</f>
        <v>0</v>
      </c>
      <c r="D27" s="11" t="s">
        <v>3</v>
      </c>
      <c r="E27" s="1"/>
    </row>
    <row r="28" spans="1:5" ht="15" customHeight="1" x14ac:dyDescent="0.25">
      <c r="A28" s="1"/>
      <c r="B28" s="26" t="s">
        <v>117</v>
      </c>
      <c r="C28" s="52"/>
      <c r="D28" s="19"/>
      <c r="E28" s="1"/>
    </row>
    <row r="29" spans="1:5" x14ac:dyDescent="0.25">
      <c r="A29" s="1"/>
      <c r="B29" s="68" t="s">
        <v>118</v>
      </c>
      <c r="C29" s="10">
        <f>'Fane 7. Kontrol af ØR2022'!E27</f>
        <v>128588.19321169704</v>
      </c>
      <c r="D29" s="11" t="s">
        <v>3</v>
      </c>
      <c r="E29" s="1"/>
    </row>
    <row r="30" spans="1:5" x14ac:dyDescent="0.25">
      <c r="A30" s="1"/>
      <c r="B30" s="26" t="s">
        <v>138</v>
      </c>
      <c r="C30" s="52"/>
      <c r="D30" s="19"/>
      <c r="E30" s="1"/>
    </row>
    <row r="31" spans="1:5" x14ac:dyDescent="0.25">
      <c r="A31" s="1"/>
      <c r="B31" s="68" t="s">
        <v>139</v>
      </c>
      <c r="C31" s="10">
        <f>'Fane 8. Skattesagen'!G13</f>
        <v>0</v>
      </c>
      <c r="D31" s="11" t="s">
        <v>3</v>
      </c>
      <c r="E31" s="1"/>
    </row>
    <row r="32" spans="1:5" x14ac:dyDescent="0.25">
      <c r="A32" s="1"/>
      <c r="B32" s="51" t="s">
        <v>126</v>
      </c>
      <c r="C32" s="33">
        <f>SUM(C19,C21,C27,C29,C31)</f>
        <v>21267689.025974073</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wgqmWRX1/vnzpKmlNiEB/8vKcNfiF1rsMWjxRWaF8vuPGRte6AnNKY2WuNMJnoUp9s+f9mwH0bmzAFWhLse8Q==" saltValue="kvRassq9eXO1Z/Rf3qP3B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3" t="s">
        <v>199</v>
      </c>
      <c r="C3" s="93"/>
      <c r="D3" s="93"/>
      <c r="E3" s="1"/>
    </row>
    <row r="4" spans="1:5" ht="15" customHeight="1" x14ac:dyDescent="0.25">
      <c r="A4" s="1"/>
      <c r="B4" s="93"/>
      <c r="C4" s="93"/>
      <c r="D4" s="93"/>
      <c r="E4" s="1"/>
    </row>
    <row r="5" spans="1:5" x14ac:dyDescent="0.25">
      <c r="A5" s="1"/>
      <c r="B5" s="94" t="s">
        <v>20</v>
      </c>
      <c r="C5" s="94"/>
      <c r="D5" s="94"/>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13479527.147301896</v>
      </c>
      <c r="D8" s="8" t="s">
        <v>3</v>
      </c>
      <c r="E8" s="1"/>
    </row>
    <row r="9" spans="1:5" ht="15" customHeight="1" x14ac:dyDescent="0.25">
      <c r="A9" s="1"/>
      <c r="B9" s="29" t="s">
        <v>17</v>
      </c>
      <c r="C9" s="9">
        <f>SUM(C8:C8)*'Fane 13. Nøgletal'!C16</f>
        <v>1089145.7935019932</v>
      </c>
      <c r="D9" s="8" t="s">
        <v>3</v>
      </c>
      <c r="E9" s="1"/>
    </row>
    <row r="10" spans="1:5" ht="15" customHeight="1" x14ac:dyDescent="0.25">
      <c r="A10" s="1"/>
      <c r="B10" s="29" t="s">
        <v>9</v>
      </c>
      <c r="C10" s="9">
        <f>-SUM(C8:C9)*'Fane 5. Individuelt eff. krav'!G9</f>
        <v>-157074.08488484789</v>
      </c>
      <c r="D10" s="8" t="s">
        <v>3</v>
      </c>
      <c r="E10" s="1"/>
    </row>
    <row r="11" spans="1:5" ht="15" customHeight="1" x14ac:dyDescent="0.25">
      <c r="A11" s="1"/>
      <c r="B11" s="29" t="s">
        <v>22</v>
      </c>
      <c r="C11" s="9">
        <f>-'Fane 4.1. Gen. krav - drift'!G54</f>
        <v>-166414.10012055305</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14245184.755798487</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8278467.2392456867</v>
      </c>
      <c r="D15" s="11" t="s">
        <v>3</v>
      </c>
      <c r="E15" s="1"/>
    </row>
    <row r="16" spans="1:5" x14ac:dyDescent="0.25">
      <c r="A16" s="1"/>
      <c r="B16" s="26" t="s">
        <v>117</v>
      </c>
      <c r="C16" s="52"/>
      <c r="D16" s="19"/>
      <c r="E16" s="1"/>
    </row>
    <row r="17" spans="1:5" ht="15" customHeight="1" x14ac:dyDescent="0.25">
      <c r="A17" s="1"/>
      <c r="B17" s="68" t="s">
        <v>118</v>
      </c>
      <c r="C17" s="10">
        <f>'Fane 7. Kontrol af ØR2022'!E33</f>
        <v>0</v>
      </c>
      <c r="D17" s="11" t="s">
        <v>3</v>
      </c>
      <c r="E17" s="1"/>
    </row>
    <row r="18" spans="1:5" x14ac:dyDescent="0.25">
      <c r="A18" s="1"/>
      <c r="B18" s="26" t="s">
        <v>138</v>
      </c>
      <c r="C18" s="52"/>
      <c r="D18" s="19"/>
      <c r="E18" s="1"/>
    </row>
    <row r="19" spans="1:5" x14ac:dyDescent="0.25">
      <c r="A19" s="1"/>
      <c r="B19" s="68" t="s">
        <v>139</v>
      </c>
      <c r="C19" s="10">
        <f>'Fane 8. Skattesagen'!G13</f>
        <v>0</v>
      </c>
      <c r="D19" s="11" t="s">
        <v>3</v>
      </c>
      <c r="E19" s="1"/>
    </row>
    <row r="20" spans="1:5" x14ac:dyDescent="0.25">
      <c r="A20" s="1"/>
      <c r="B20" s="51" t="s">
        <v>128</v>
      </c>
      <c r="C20" s="12">
        <f>SUM(C13,C15,C17,C19)</f>
        <v>22523651.995044172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Jsivr/hTQbaiqAdy7YZUXPlDAus/WfVcxTqjYenf8WxB0m8PmCGm94A2jGwd1Ap/cj/c3kITfbj8VNV9CzEMg==" saltValue="yeEpQ79g1D9NB4om0M4zS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3" t="s">
        <v>200</v>
      </c>
      <c r="C3" s="93"/>
      <c r="D3" s="93"/>
      <c r="E3" s="1"/>
    </row>
    <row r="4" spans="1:5" ht="15" customHeight="1" x14ac:dyDescent="0.25">
      <c r="A4" s="1"/>
      <c r="B4" s="93"/>
      <c r="C4" s="93"/>
      <c r="D4" s="93"/>
      <c r="E4" s="1"/>
    </row>
    <row r="5" spans="1:5" x14ac:dyDescent="0.25">
      <c r="A5" s="1"/>
      <c r="B5" s="94" t="s">
        <v>20</v>
      </c>
      <c r="C5" s="94"/>
      <c r="D5" s="94"/>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14245184.755798487</v>
      </c>
      <c r="D8" s="8" t="s">
        <v>3</v>
      </c>
      <c r="E8" s="1"/>
    </row>
    <row r="9" spans="1:5" ht="15" customHeight="1" x14ac:dyDescent="0.25">
      <c r="A9" s="1"/>
      <c r="B9" s="29" t="s">
        <v>17</v>
      </c>
      <c r="C9" s="9">
        <f>SUM(C8:C8)*'Fane 13. Nøgletal'!C16</f>
        <v>1151010.9282685176</v>
      </c>
      <c r="D9" s="8" t="s">
        <v>3</v>
      </c>
      <c r="E9" s="1"/>
    </row>
    <row r="10" spans="1:5" ht="15" customHeight="1" x14ac:dyDescent="0.25">
      <c r="A10" s="1"/>
      <c r="B10" s="29" t="s">
        <v>9</v>
      </c>
      <c r="C10" s="9">
        <f>-SUM(C8:C9)*'Fane 5. Individuelt eff. krav'!G9</f>
        <v>-165996.1313984599</v>
      </c>
      <c r="D10" s="8" t="s">
        <v>3</v>
      </c>
      <c r="E10" s="1"/>
    </row>
    <row r="11" spans="1:5" ht="15" customHeight="1" x14ac:dyDescent="0.25">
      <c r="A11" s="1"/>
      <c r="B11" s="29" t="s">
        <v>22</v>
      </c>
      <c r="C11" s="9">
        <f>-'Fane 4.1. Gen. krav - drift'!G59</f>
        <v>-176263.15222208787</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15053936.400446458</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8947367.392176738</v>
      </c>
      <c r="D15" s="11" t="s">
        <v>3</v>
      </c>
      <c r="E15" s="1"/>
    </row>
    <row r="16" spans="1:5" x14ac:dyDescent="0.25">
      <c r="A16" s="1"/>
      <c r="B16" s="51" t="s">
        <v>117</v>
      </c>
      <c r="C16" s="52"/>
      <c r="D16" s="19"/>
      <c r="E16" s="1"/>
    </row>
    <row r="17" spans="1:5" x14ac:dyDescent="0.25">
      <c r="A17" s="1"/>
      <c r="B17" s="53" t="s">
        <v>118</v>
      </c>
      <c r="C17" s="10">
        <f>'Fane 7. Kontrol af ØR2022'!E33</f>
        <v>0</v>
      </c>
      <c r="D17" s="11" t="s">
        <v>3</v>
      </c>
      <c r="E17" s="1"/>
    </row>
    <row r="18" spans="1:5" ht="15" customHeight="1" x14ac:dyDescent="0.25">
      <c r="A18" s="1"/>
      <c r="B18" s="26" t="s">
        <v>138</v>
      </c>
      <c r="C18" s="52"/>
      <c r="D18" s="19"/>
      <c r="E18" s="1"/>
    </row>
    <row r="19" spans="1:5" ht="15" customHeight="1" x14ac:dyDescent="0.25">
      <c r="A19" s="1"/>
      <c r="B19" s="68" t="s">
        <v>139</v>
      </c>
      <c r="C19" s="10">
        <f>'Fane 8. Skattesagen'!G14</f>
        <v>0</v>
      </c>
      <c r="D19" s="11" t="s">
        <v>3</v>
      </c>
      <c r="E19" s="1"/>
    </row>
    <row r="20" spans="1:5" x14ac:dyDescent="0.25">
      <c r="A20" s="1"/>
      <c r="B20" s="51" t="s">
        <v>143</v>
      </c>
      <c r="C20" s="12">
        <f>SUM(C13,C15,C17,C19)</f>
        <v>24001303.792623196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2XMCk1gqnkGxGIiNEavMA714NC7Yj0O1D4Mbx+NeM/YmDctsBs/jp4HCakqqoYxQmln5e5jqsxoL4RGK0dBvA==" saltValue="py8AsuMDdWa0IZCnjgcUI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3" t="s">
        <v>204</v>
      </c>
      <c r="C3" s="93"/>
      <c r="D3" s="93"/>
      <c r="E3" s="1"/>
    </row>
    <row r="4" spans="1:5" ht="15" customHeight="1" x14ac:dyDescent="0.25">
      <c r="A4" s="1"/>
      <c r="B4" s="93"/>
      <c r="C4" s="93"/>
      <c r="D4" s="93"/>
      <c r="E4" s="1"/>
    </row>
    <row r="5" spans="1:5" x14ac:dyDescent="0.25">
      <c r="A5" s="1"/>
      <c r="B5" s="94" t="s">
        <v>20</v>
      </c>
      <c r="C5" s="94"/>
      <c r="D5" s="94"/>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15053936.400446458</v>
      </c>
      <c r="D8" s="8" t="s">
        <v>3</v>
      </c>
      <c r="E8" s="1"/>
    </row>
    <row r="9" spans="1:5" ht="15" customHeight="1" x14ac:dyDescent="0.25">
      <c r="A9" s="1"/>
      <c r="B9" s="29" t="s">
        <v>17</v>
      </c>
      <c r="C9" s="9">
        <f>SUM(C8:C8)*'Fane 13. Nøgletal'!C16</f>
        <v>1216358.0611560738</v>
      </c>
      <c r="D9" s="8" t="s">
        <v>3</v>
      </c>
      <c r="E9" s="1"/>
    </row>
    <row r="10" spans="1:5" ht="15" customHeight="1" x14ac:dyDescent="0.25">
      <c r="A10" s="1"/>
      <c r="B10" s="29" t="s">
        <v>9</v>
      </c>
      <c r="C10" s="9">
        <f>-SUM(C8:C9)*'Fane 5. Individuelt eff. krav'!G9</f>
        <v>-175420.34362000084</v>
      </c>
      <c r="D10" s="8" t="s">
        <v>3</v>
      </c>
      <c r="E10" s="1"/>
    </row>
    <row r="11" spans="1:5" ht="15" customHeight="1" x14ac:dyDescent="0.25">
      <c r="A11" s="1"/>
      <c r="B11" s="29" t="s">
        <v>22</v>
      </c>
      <c r="C11" s="9">
        <f>-'Fane 4.1. Gen. krav - drift'!G64</f>
        <v>-186695.1106231999</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15908179.007359331</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9670314.6774646174</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68" t="s">
        <v>139</v>
      </c>
      <c r="C19" s="10">
        <f>'Fane 8. Skattesagen'!G15</f>
        <v>0</v>
      </c>
      <c r="D19" s="11" t="s">
        <v>3</v>
      </c>
      <c r="E19" s="1"/>
    </row>
    <row r="20" spans="1:5" x14ac:dyDescent="0.25">
      <c r="A20" s="1"/>
      <c r="B20" s="51" t="s">
        <v>205</v>
      </c>
      <c r="C20" s="12">
        <f>SUM(C13,C15,C17,C19)</f>
        <v>25578493.684823949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xkHiW/P9+bIqZgBnTVOCK8NFxBxWXubAv95MG6DpNpA558ZPMFC61jxH1MoRYyqy5ryedRGt8GDNzrFQtP1q2w==" saltValue="0i6SjyUgRnwYEN33Oz7Ff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6" t="s">
        <v>201</v>
      </c>
      <c r="C3" s="96"/>
      <c r="D3" s="96"/>
      <c r="E3" s="1"/>
    </row>
    <row r="4" spans="1:5" x14ac:dyDescent="0.25">
      <c r="A4" s="1"/>
      <c r="B4" s="96"/>
      <c r="C4" s="96"/>
      <c r="D4" s="96"/>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10375146.833067467</v>
      </c>
      <c r="D8" s="8" t="s">
        <v>3</v>
      </c>
      <c r="E8" s="1"/>
    </row>
    <row r="9" spans="1:5" x14ac:dyDescent="0.25">
      <c r="A9" s="1"/>
      <c r="B9" s="24" t="s">
        <v>33</v>
      </c>
      <c r="C9" s="7">
        <v>1249125.186</v>
      </c>
      <c r="D9" s="8" t="s">
        <v>3</v>
      </c>
      <c r="E9" s="1"/>
    </row>
    <row r="10" spans="1:5" x14ac:dyDescent="0.25">
      <c r="A10" s="1"/>
      <c r="B10" s="24" t="s">
        <v>34</v>
      </c>
      <c r="C10" s="9">
        <v>671638.38</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437734.4102068019</v>
      </c>
      <c r="D15" s="8" t="s">
        <v>3</v>
      </c>
      <c r="E15" s="1"/>
    </row>
    <row r="16" spans="1:5" x14ac:dyDescent="0.25">
      <c r="A16" s="1"/>
      <c r="B16" s="24" t="s">
        <v>9</v>
      </c>
      <c r="C16" s="9">
        <v>-137289.48503356849</v>
      </c>
      <c r="D16" s="8" t="s">
        <v>3</v>
      </c>
      <c r="E16" s="1"/>
    </row>
    <row r="17" spans="1:5" x14ac:dyDescent="0.25">
      <c r="A17" s="1"/>
      <c r="B17" s="24" t="s">
        <v>22</v>
      </c>
      <c r="C17" s="9">
        <v>-145640.69715290333</v>
      </c>
      <c r="D17" s="8" t="s">
        <v>3</v>
      </c>
      <c r="E17" s="1"/>
    </row>
    <row r="18" spans="1:5" x14ac:dyDescent="0.25">
      <c r="A18" s="1"/>
      <c r="B18" s="24" t="s">
        <v>23</v>
      </c>
      <c r="C18" s="9">
        <v>0</v>
      </c>
      <c r="D18" s="8" t="s">
        <v>3</v>
      </c>
      <c r="E18" s="1"/>
    </row>
    <row r="19" spans="1:5" x14ac:dyDescent="0.25">
      <c r="A19" s="1"/>
      <c r="B19" s="69" t="s">
        <v>19</v>
      </c>
      <c r="C19" s="10">
        <v>12450714.6270878</v>
      </c>
      <c r="D19" s="11" t="s">
        <v>3</v>
      </c>
      <c r="E19" s="1"/>
    </row>
    <row r="20" spans="1:5" x14ac:dyDescent="0.25">
      <c r="A20" s="1"/>
      <c r="B20" s="51" t="s">
        <v>11</v>
      </c>
      <c r="C20" s="52"/>
      <c r="D20" s="19"/>
      <c r="E20" s="1"/>
    </row>
    <row r="21" spans="1:5" x14ac:dyDescent="0.25">
      <c r="A21" s="1"/>
      <c r="B21" s="53" t="s">
        <v>11</v>
      </c>
      <c r="C21" s="10">
        <v>8584229.300836321</v>
      </c>
      <c r="D21" s="11" t="s">
        <v>3</v>
      </c>
      <c r="E21" s="1"/>
    </row>
    <row r="22" spans="1:5" x14ac:dyDescent="0.25">
      <c r="A22" s="1"/>
      <c r="B22" s="51" t="s">
        <v>75</v>
      </c>
      <c r="C22" s="52"/>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69" t="s">
        <v>76</v>
      </c>
      <c r="C27" s="56">
        <v>0</v>
      </c>
      <c r="D27" s="11" t="s">
        <v>3</v>
      </c>
      <c r="E27" s="1"/>
    </row>
    <row r="28" spans="1:5" x14ac:dyDescent="0.25">
      <c r="A28" s="1"/>
      <c r="B28" s="26" t="s">
        <v>117</v>
      </c>
      <c r="C28" s="52"/>
      <c r="D28" s="19"/>
      <c r="E28" s="1"/>
    </row>
    <row r="29" spans="1:5" x14ac:dyDescent="0.25">
      <c r="A29" s="1"/>
      <c r="B29" s="68" t="s">
        <v>118</v>
      </c>
      <c r="C29" s="10">
        <v>-128588.19321169704</v>
      </c>
      <c r="D29" s="11" t="s">
        <v>3</v>
      </c>
      <c r="E29" s="1"/>
    </row>
    <row r="30" spans="1:5" x14ac:dyDescent="0.25">
      <c r="A30" s="1"/>
      <c r="B30" s="26" t="s">
        <v>138</v>
      </c>
      <c r="C30" s="52"/>
      <c r="D30" s="19"/>
      <c r="E30" s="1"/>
    </row>
    <row r="31" spans="1:5" x14ac:dyDescent="0.25">
      <c r="A31" s="1"/>
      <c r="B31" s="68" t="s">
        <v>139</v>
      </c>
      <c r="C31" s="10">
        <v>0</v>
      </c>
      <c r="D31" s="11" t="s">
        <v>3</v>
      </c>
      <c r="E31" s="1"/>
    </row>
    <row r="32" spans="1:5" x14ac:dyDescent="0.25">
      <c r="A32" s="1"/>
      <c r="B32" s="51" t="s">
        <v>239</v>
      </c>
      <c r="C32" s="33">
        <v>20906355.734712422</v>
      </c>
      <c r="D32" s="19" t="s">
        <v>3</v>
      </c>
      <c r="E32" s="1"/>
    </row>
    <row r="33" spans="1:5" ht="30" customHeight="1" x14ac:dyDescent="0.25">
      <c r="A33" s="1"/>
      <c r="B33" s="95" t="s">
        <v>240</v>
      </c>
      <c r="C33" s="95"/>
      <c r="D33" s="95"/>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9sK1eEnOyJJZESiBzfyaIY/xxN9mmYCakVTOO7BbmL5zhBZVv9qAr2K1eBGIi+EcDOZvTlzXGXFrGeLrMdML3Q==" saltValue="wdQmt4rTyLY0Uf/cNhVDjw=="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6" t="s">
        <v>90</v>
      </c>
      <c r="C1" s="96"/>
      <c r="D1" s="96"/>
      <c r="E1" s="96"/>
      <c r="F1" s="96"/>
      <c r="G1" s="96"/>
      <c r="H1" s="96"/>
      <c r="I1" s="1"/>
    </row>
    <row r="2" spans="1:9" ht="15" customHeight="1" x14ac:dyDescent="0.25">
      <c r="A2" s="1"/>
      <c r="B2" s="96"/>
      <c r="C2" s="96"/>
      <c r="D2" s="96"/>
      <c r="E2" s="96"/>
      <c r="F2" s="96"/>
      <c r="G2" s="96"/>
      <c r="H2" s="96"/>
      <c r="I2" s="1"/>
    </row>
    <row r="3" spans="1:9" ht="15" customHeight="1" x14ac:dyDescent="0.25">
      <c r="A3" s="1"/>
      <c r="B3" s="96"/>
      <c r="C3" s="96"/>
      <c r="D3" s="96"/>
      <c r="E3" s="96"/>
      <c r="F3" s="96"/>
      <c r="G3" s="96"/>
      <c r="H3" s="96"/>
      <c r="I3" s="1"/>
    </row>
    <row r="4" spans="1:9" x14ac:dyDescent="0.25">
      <c r="A4" s="1"/>
      <c r="B4" s="103" t="s">
        <v>44</v>
      </c>
      <c r="C4" s="104"/>
      <c r="D4" s="104"/>
      <c r="E4" s="104"/>
      <c r="F4" s="104"/>
      <c r="G4" s="104"/>
      <c r="H4" s="105"/>
      <c r="I4" s="1"/>
    </row>
    <row r="5" spans="1:9" x14ac:dyDescent="0.25">
      <c r="A5" s="1"/>
      <c r="B5" s="97" t="s">
        <v>36</v>
      </c>
      <c r="C5" s="98"/>
      <c r="D5" s="98"/>
      <c r="E5" s="98"/>
      <c r="F5" s="99"/>
      <c r="G5" s="47">
        <v>5348267.9622022836</v>
      </c>
      <c r="H5" s="14" t="s">
        <v>3</v>
      </c>
      <c r="I5" s="1"/>
    </row>
    <row r="6" spans="1:9" x14ac:dyDescent="0.25">
      <c r="A6" s="1"/>
      <c r="B6" s="97" t="s">
        <v>37</v>
      </c>
      <c r="C6" s="98"/>
      <c r="D6" s="98"/>
      <c r="E6" s="98"/>
      <c r="F6" s="99"/>
      <c r="G6" s="22">
        <f>G5*'Fane 13. Nøgletal'!C33</f>
        <v>106965.35924404567</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103" t="s">
        <v>45</v>
      </c>
      <c r="C9" s="104"/>
      <c r="D9" s="104"/>
      <c r="E9" s="104"/>
      <c r="F9" s="104"/>
      <c r="G9" s="104"/>
      <c r="H9" s="105"/>
      <c r="I9" s="1"/>
    </row>
    <row r="10" spans="1:9" x14ac:dyDescent="0.25">
      <c r="A10" s="1"/>
      <c r="B10" s="97" t="s">
        <v>38</v>
      </c>
      <c r="C10" s="98"/>
      <c r="D10" s="98"/>
      <c r="E10" s="98"/>
      <c r="F10" s="99"/>
      <c r="G10" s="22">
        <f>(G5-G6)*(1+'Fane 13. Nøgletal'!C9)</f>
        <v>5307867.1460158071</v>
      </c>
      <c r="H10" s="14" t="s">
        <v>3</v>
      </c>
      <c r="I10" s="1"/>
    </row>
    <row r="11" spans="1:9" x14ac:dyDescent="0.25">
      <c r="A11" s="1"/>
      <c r="B11" s="100" t="s">
        <v>228</v>
      </c>
      <c r="C11" s="101"/>
      <c r="D11" s="101"/>
      <c r="E11" s="101"/>
      <c r="F11" s="102"/>
      <c r="G11" s="47">
        <v>0</v>
      </c>
      <c r="H11" s="14" t="s">
        <v>3</v>
      </c>
      <c r="I11" s="1"/>
    </row>
    <row r="12" spans="1:9" x14ac:dyDescent="0.25">
      <c r="A12" s="1"/>
      <c r="B12" s="97" t="s">
        <v>39</v>
      </c>
      <c r="C12" s="98"/>
      <c r="D12" s="98"/>
      <c r="E12" s="98"/>
      <c r="F12" s="99"/>
      <c r="G12" s="22">
        <f>(G10+G11)*'Fane 13. Nøgletal'!C33</f>
        <v>106157.34292031615</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103" t="s">
        <v>46</v>
      </c>
      <c r="C15" s="104"/>
      <c r="D15" s="104"/>
      <c r="E15" s="104"/>
      <c r="F15" s="104"/>
      <c r="G15" s="104"/>
      <c r="H15" s="105"/>
      <c r="I15" s="1"/>
    </row>
    <row r="16" spans="1:9" x14ac:dyDescent="0.25">
      <c r="A16" s="1"/>
      <c r="B16" s="97" t="s">
        <v>40</v>
      </c>
      <c r="C16" s="98"/>
      <c r="D16" s="98"/>
      <c r="E16" s="98"/>
      <c r="F16" s="99"/>
      <c r="G16" s="22">
        <f>(G10+G11-G12)*(1+'Fane 13. Nøgletal'!C11)</f>
        <v>5289618.6987678036</v>
      </c>
      <c r="H16" s="14" t="s">
        <v>3</v>
      </c>
      <c r="I16" s="1"/>
    </row>
    <row r="17" spans="1:9" x14ac:dyDescent="0.25">
      <c r="A17" s="1"/>
      <c r="B17" s="97" t="s">
        <v>100</v>
      </c>
      <c r="C17" s="98"/>
      <c r="D17" s="98"/>
      <c r="E17" s="98"/>
      <c r="F17" s="99"/>
      <c r="G17" s="47">
        <v>0</v>
      </c>
      <c r="H17" s="14" t="s">
        <v>3</v>
      </c>
      <c r="I17" s="1"/>
    </row>
    <row r="18" spans="1:9" x14ac:dyDescent="0.25">
      <c r="A18" s="1"/>
      <c r="B18" s="100" t="s">
        <v>229</v>
      </c>
      <c r="C18" s="101"/>
      <c r="D18" s="101"/>
      <c r="E18" s="101"/>
      <c r="F18" s="102"/>
      <c r="G18" s="47">
        <v>0</v>
      </c>
      <c r="H18" s="14" t="s">
        <v>3</v>
      </c>
      <c r="I18" s="1"/>
    </row>
    <row r="19" spans="1:9" x14ac:dyDescent="0.25">
      <c r="A19" s="1"/>
      <c r="B19" s="97" t="s">
        <v>41</v>
      </c>
      <c r="C19" s="98"/>
      <c r="D19" s="98"/>
      <c r="E19" s="98"/>
      <c r="F19" s="99"/>
      <c r="G19" s="22">
        <f>SUM(G16:G18)*'Fane 13. Nøgletal'!C33</f>
        <v>105792.37397535608</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103" t="s">
        <v>47</v>
      </c>
      <c r="C22" s="104"/>
      <c r="D22" s="104"/>
      <c r="E22" s="104"/>
      <c r="F22" s="104"/>
      <c r="G22" s="104"/>
      <c r="H22" s="105"/>
      <c r="I22" s="1"/>
    </row>
    <row r="23" spans="1:9" x14ac:dyDescent="0.25">
      <c r="A23" s="1"/>
      <c r="B23" s="97" t="s">
        <v>42</v>
      </c>
      <c r="C23" s="98"/>
      <c r="D23" s="98"/>
      <c r="E23" s="98"/>
      <c r="F23" s="99"/>
      <c r="G23" s="22">
        <f>(SUM(G16:G18)-G19)*(1+'Fane 13. Nøgletal'!C11)</f>
        <v>5271432.9896814395</v>
      </c>
      <c r="H23" s="14" t="s">
        <v>3</v>
      </c>
      <c r="I23" s="1"/>
    </row>
    <row r="24" spans="1:9" x14ac:dyDescent="0.25">
      <c r="A24" s="1"/>
      <c r="B24" s="100" t="s">
        <v>230</v>
      </c>
      <c r="C24" s="101"/>
      <c r="D24" s="101"/>
      <c r="E24" s="101"/>
      <c r="F24" s="102"/>
      <c r="G24" s="47">
        <v>533632.76503317012</v>
      </c>
      <c r="H24" s="14" t="s">
        <v>3</v>
      </c>
      <c r="I24" s="1"/>
    </row>
    <row r="25" spans="1:9" x14ac:dyDescent="0.25">
      <c r="A25" s="1"/>
      <c r="B25" s="97" t="s">
        <v>43</v>
      </c>
      <c r="C25" s="98"/>
      <c r="D25" s="98"/>
      <c r="E25" s="98"/>
      <c r="F25" s="99"/>
      <c r="G25" s="22">
        <f>(G23+G24)*'Fane 13. Nøgletal'!C33</f>
        <v>116101.31509429221</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103" t="s">
        <v>121</v>
      </c>
      <c r="C28" s="104"/>
      <c r="D28" s="104"/>
      <c r="E28" s="104"/>
      <c r="F28" s="104"/>
      <c r="G28" s="104"/>
      <c r="H28" s="105"/>
      <c r="I28" s="1"/>
    </row>
    <row r="29" spans="1:9" x14ac:dyDescent="0.25">
      <c r="A29" s="1"/>
      <c r="B29" s="97" t="s">
        <v>50</v>
      </c>
      <c r="C29" s="98"/>
      <c r="D29" s="98"/>
      <c r="E29" s="98"/>
      <c r="F29" s="99"/>
      <c r="G29" s="22">
        <f>(G23+G24-G25)*(1+'Fane 13. Nøgletal'!C13)</f>
        <v>5758369.8057836853</v>
      </c>
      <c r="H29" s="14" t="s">
        <v>3</v>
      </c>
      <c r="I29" s="1"/>
    </row>
    <row r="30" spans="1:9" x14ac:dyDescent="0.25">
      <c r="A30" s="1"/>
      <c r="B30" s="97" t="s">
        <v>231</v>
      </c>
      <c r="C30" s="98"/>
      <c r="D30" s="98"/>
      <c r="E30" s="98"/>
      <c r="F30" s="99"/>
      <c r="G30" s="47">
        <v>190072.25169911998</v>
      </c>
      <c r="H30" s="14" t="s">
        <v>3</v>
      </c>
      <c r="I30" s="1"/>
    </row>
    <row r="31" spans="1:9" x14ac:dyDescent="0.25">
      <c r="A31" s="1"/>
      <c r="B31" s="97" t="s">
        <v>115</v>
      </c>
      <c r="C31" s="98"/>
      <c r="D31" s="98"/>
      <c r="E31" s="98"/>
      <c r="F31" s="99"/>
      <c r="G31" s="22">
        <f>(G29+G30)*'Fane 13. Nøgletal'!C33</f>
        <v>118968.8411496561</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103" t="s">
        <v>122</v>
      </c>
      <c r="C34" s="104"/>
      <c r="D34" s="104"/>
      <c r="E34" s="104"/>
      <c r="F34" s="104"/>
      <c r="G34" s="104"/>
      <c r="H34" s="105"/>
      <c r="I34" s="1"/>
    </row>
    <row r="35" spans="1:9" x14ac:dyDescent="0.25">
      <c r="A35" s="1"/>
      <c r="B35" s="97" t="s">
        <v>69</v>
      </c>
      <c r="C35" s="98"/>
      <c r="D35" s="98"/>
      <c r="E35" s="98"/>
      <c r="F35" s="99"/>
      <c r="G35" s="22">
        <f>(G29+G30-G31)*(1+'Fane 13. Nøgletal'!C13)</f>
        <v>5900592.7895724131</v>
      </c>
      <c r="H35" s="14" t="s">
        <v>3</v>
      </c>
      <c r="I35" s="1"/>
    </row>
    <row r="36" spans="1:9" x14ac:dyDescent="0.25">
      <c r="A36" s="1"/>
      <c r="B36" s="97" t="s">
        <v>232</v>
      </c>
      <c r="C36" s="98"/>
      <c r="D36" s="98"/>
      <c r="E36" s="98"/>
      <c r="F36" s="99"/>
      <c r="G36" s="47">
        <v>0</v>
      </c>
      <c r="H36" s="14" t="s">
        <v>3</v>
      </c>
      <c r="I36" s="1"/>
    </row>
    <row r="37" spans="1:9" x14ac:dyDescent="0.25">
      <c r="A37" s="1"/>
      <c r="B37" s="97" t="s">
        <v>123</v>
      </c>
      <c r="C37" s="98"/>
      <c r="D37" s="98"/>
      <c r="E37" s="98"/>
      <c r="F37" s="99"/>
      <c r="G37" s="22">
        <f>(G35+G36)*'Fane 13. Nøgletal'!C33</f>
        <v>118011.85579144827</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103" t="s">
        <v>157</v>
      </c>
      <c r="C40" s="104"/>
      <c r="D40" s="104"/>
      <c r="E40" s="104"/>
      <c r="F40" s="104"/>
      <c r="G40" s="104"/>
      <c r="H40" s="105"/>
      <c r="I40" s="1"/>
    </row>
    <row r="41" spans="1:9" x14ac:dyDescent="0.25">
      <c r="A41" s="1"/>
      <c r="B41" s="97" t="s">
        <v>68</v>
      </c>
      <c r="C41" s="98"/>
      <c r="D41" s="98"/>
      <c r="E41" s="98"/>
      <c r="F41" s="99"/>
      <c r="G41" s="22">
        <f>(G35+G36-G37)*(1+'Fane 13. Nøgletal'!C15)</f>
        <v>5988440.8150235675</v>
      </c>
      <c r="H41" s="14" t="s">
        <v>3</v>
      </c>
      <c r="I41" s="1"/>
    </row>
    <row r="42" spans="1:9" x14ac:dyDescent="0.25">
      <c r="A42" s="1"/>
      <c r="B42" s="97" t="s">
        <v>156</v>
      </c>
      <c r="C42" s="98"/>
      <c r="D42" s="98"/>
      <c r="E42" s="98"/>
      <c r="F42" s="99"/>
      <c r="G42" s="22">
        <v>1293594.0426216</v>
      </c>
      <c r="H42" s="14" t="s">
        <v>3</v>
      </c>
      <c r="I42" s="1"/>
    </row>
    <row r="43" spans="1:9" x14ac:dyDescent="0.25">
      <c r="A43" s="1"/>
      <c r="B43" s="97" t="s">
        <v>166</v>
      </c>
      <c r="C43" s="98"/>
      <c r="D43" s="98"/>
      <c r="E43" s="98"/>
      <c r="F43" s="99"/>
      <c r="G43" s="22">
        <f>(G41+G42)*'Fane 13. Nøgletal'!C33</f>
        <v>145640.69715290333</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103" t="s">
        <v>158</v>
      </c>
      <c r="C46" s="104"/>
      <c r="D46" s="104"/>
      <c r="E46" s="104"/>
      <c r="F46" s="104"/>
      <c r="G46" s="104"/>
      <c r="H46" s="105"/>
      <c r="I46" s="1"/>
    </row>
    <row r="47" spans="1:9" x14ac:dyDescent="0.25">
      <c r="A47" s="1"/>
      <c r="B47" s="97" t="s">
        <v>112</v>
      </c>
      <c r="C47" s="98"/>
      <c r="D47" s="98"/>
      <c r="E47" s="98"/>
      <c r="F47" s="99"/>
      <c r="G47" s="22">
        <f>(G41+G42-G43)*(1+'Fane 13. Nøgletal'!C15)</f>
        <v>7390449.7926057884</v>
      </c>
      <c r="H47" s="14" t="s">
        <v>3</v>
      </c>
      <c r="I47" s="1"/>
    </row>
    <row r="48" spans="1:9" x14ac:dyDescent="0.25">
      <c r="A48" s="1"/>
      <c r="B48" s="97" t="s">
        <v>206</v>
      </c>
      <c r="C48" s="98"/>
      <c r="D48" s="98"/>
      <c r="E48" s="98"/>
      <c r="F48" s="99"/>
      <c r="G48" s="22">
        <f>('Fane 2.1. Økonomisk ramme 2024'!C9+'Fane 2.1. Økonomisk ramme 2024'!C11+'Fane 2.1. Økonomisk ramme 2024'!C13)*(1+'Fane 13. Nøgletal'!C16)</f>
        <v>465319.37122943997</v>
      </c>
      <c r="H48" s="14" t="s">
        <v>3</v>
      </c>
      <c r="I48" s="1"/>
    </row>
    <row r="49" spans="1:9" x14ac:dyDescent="0.25">
      <c r="A49" s="1"/>
      <c r="B49" s="97" t="s">
        <v>167</v>
      </c>
      <c r="C49" s="98"/>
      <c r="D49" s="98"/>
      <c r="E49" s="98"/>
      <c r="F49" s="99"/>
      <c r="G49" s="22">
        <f>G47*'Fane 13. Nøgletal'!C33+G48*'Fane 13. Nøgletal'!C33</f>
        <v>157115.38327670458</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103" t="s">
        <v>133</v>
      </c>
      <c r="C52" s="104"/>
      <c r="D52" s="104"/>
      <c r="E52" s="104"/>
      <c r="F52" s="104"/>
      <c r="G52" s="104"/>
      <c r="H52" s="105"/>
      <c r="I52" s="1"/>
    </row>
    <row r="53" spans="1:9" x14ac:dyDescent="0.25">
      <c r="A53" s="1"/>
      <c r="B53" s="97" t="s">
        <v>134</v>
      </c>
      <c r="C53" s="98"/>
      <c r="D53" s="98"/>
      <c r="E53" s="98"/>
      <c r="F53" s="99"/>
      <c r="G53" s="22">
        <f>(G47+G48-G49)*(1+'Fane 13. Nøgletal'!C16)</f>
        <v>8320705.006027652</v>
      </c>
      <c r="H53" s="14" t="s">
        <v>3</v>
      </c>
      <c r="I53" s="1"/>
    </row>
    <row r="54" spans="1:9" x14ac:dyDescent="0.25">
      <c r="A54" s="1"/>
      <c r="B54" s="97" t="s">
        <v>135</v>
      </c>
      <c r="C54" s="98"/>
      <c r="D54" s="98"/>
      <c r="E54" s="98"/>
      <c r="F54" s="99"/>
      <c r="G54" s="22">
        <f>(G53)*'Fane 13. Nøgletal'!C33</f>
        <v>166414.10012055305</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103" t="s">
        <v>144</v>
      </c>
      <c r="C57" s="104"/>
      <c r="D57" s="104"/>
      <c r="E57" s="104"/>
      <c r="F57" s="104"/>
      <c r="G57" s="104"/>
      <c r="H57" s="105"/>
      <c r="I57" s="1"/>
    </row>
    <row r="58" spans="1:9" x14ac:dyDescent="0.25">
      <c r="A58" s="1"/>
      <c r="B58" s="97" t="s">
        <v>145</v>
      </c>
      <c r="C58" s="98"/>
      <c r="D58" s="98"/>
      <c r="E58" s="98"/>
      <c r="F58" s="99"/>
      <c r="G58" s="22">
        <f>(G53-G54)*(1+'Fane 13. Nøgletal'!C16)</f>
        <v>8813157.6111043934</v>
      </c>
      <c r="H58" s="14" t="s">
        <v>3</v>
      </c>
      <c r="I58" s="1"/>
    </row>
    <row r="59" spans="1:9" x14ac:dyDescent="0.25">
      <c r="A59" s="1"/>
      <c r="B59" s="97" t="s">
        <v>146</v>
      </c>
      <c r="C59" s="98"/>
      <c r="D59" s="98"/>
      <c r="E59" s="98"/>
      <c r="F59" s="99"/>
      <c r="G59" s="22">
        <f>(G58)*'Fane 13. Nøgletal'!C33</f>
        <v>176263.15222208787</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103" t="s">
        <v>220</v>
      </c>
      <c r="C62" s="104"/>
      <c r="D62" s="104"/>
      <c r="E62" s="104"/>
      <c r="F62" s="104"/>
      <c r="G62" s="104"/>
      <c r="H62" s="105"/>
      <c r="I62" s="1"/>
    </row>
    <row r="63" spans="1:9" x14ac:dyDescent="0.25">
      <c r="A63" s="1"/>
      <c r="B63" s="97" t="s">
        <v>221</v>
      </c>
      <c r="C63" s="98"/>
      <c r="D63" s="98"/>
      <c r="E63" s="98"/>
      <c r="F63" s="99"/>
      <c r="G63" s="22">
        <f>(G58-G59)*(1+'Fane 13. Nøgletal'!C16)</f>
        <v>9334755.5311599951</v>
      </c>
      <c r="H63" s="14" t="s">
        <v>3</v>
      </c>
      <c r="I63" s="1"/>
    </row>
    <row r="64" spans="1:9" x14ac:dyDescent="0.25">
      <c r="A64" s="1"/>
      <c r="B64" s="97" t="s">
        <v>222</v>
      </c>
      <c r="C64" s="98"/>
      <c r="D64" s="98"/>
      <c r="E64" s="98"/>
      <c r="F64" s="99"/>
      <c r="G64" s="22">
        <f>(G63)*'Fane 13. Nøgletal'!C33</f>
        <v>186695.1106231999</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PugKS6aOqneGb2DQ9d/kJ9XN1nCjvnM4CPXVe/XZbvzRkIQ8q0iWhAc6dWPP9jBwLTQaA/i50KTQzJE+RiriIA==" saltValue="IpDjSOcBqdwEh9kLcPVlMQ=="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6" t="s">
        <v>91</v>
      </c>
      <c r="C1" s="107"/>
      <c r="D1" s="107"/>
      <c r="E1" s="107"/>
      <c r="F1" s="107"/>
      <c r="G1" s="107"/>
      <c r="H1" s="107"/>
      <c r="I1" s="1"/>
    </row>
    <row r="2" spans="1:9" ht="19.899999999999999" customHeight="1" x14ac:dyDescent="0.25">
      <c r="A2" s="1"/>
      <c r="B2" s="107"/>
      <c r="C2" s="107"/>
      <c r="D2" s="107"/>
      <c r="E2" s="107"/>
      <c r="F2" s="107"/>
      <c r="G2" s="107"/>
      <c r="H2" s="107"/>
      <c r="I2" s="1"/>
    </row>
    <row r="3" spans="1:9" ht="15" customHeight="1" x14ac:dyDescent="0.25">
      <c r="A3" s="1"/>
      <c r="B3" s="108"/>
      <c r="C3" s="108"/>
      <c r="D3" s="108"/>
      <c r="E3" s="108"/>
      <c r="F3" s="108"/>
      <c r="G3" s="108"/>
      <c r="H3" s="108"/>
      <c r="I3" s="1"/>
    </row>
    <row r="4" spans="1:9" x14ac:dyDescent="0.25">
      <c r="A4" s="1"/>
      <c r="B4" s="103" t="s">
        <v>48</v>
      </c>
      <c r="C4" s="104"/>
      <c r="D4" s="104"/>
      <c r="E4" s="104"/>
      <c r="F4" s="104"/>
      <c r="G4" s="104"/>
      <c r="H4" s="105"/>
      <c r="I4" s="1"/>
    </row>
    <row r="5" spans="1:9" x14ac:dyDescent="0.25">
      <c r="A5" s="1"/>
      <c r="B5" s="97" t="s">
        <v>51</v>
      </c>
      <c r="C5" s="98"/>
      <c r="D5" s="98"/>
      <c r="E5" s="98"/>
      <c r="F5" s="99"/>
      <c r="G5" s="47">
        <v>4464306.9897765834</v>
      </c>
      <c r="H5" s="14" t="s">
        <v>3</v>
      </c>
      <c r="I5" s="1"/>
    </row>
    <row r="6" spans="1:9" x14ac:dyDescent="0.25">
      <c r="A6" s="1"/>
      <c r="B6" s="97" t="s">
        <v>49</v>
      </c>
      <c r="C6" s="98"/>
      <c r="D6" s="98"/>
      <c r="E6" s="98"/>
      <c r="F6" s="99"/>
      <c r="G6" s="22">
        <f>G5*'Fane 13. Nøgletal'!C21</f>
        <v>40625.19360696691</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103" t="s">
        <v>52</v>
      </c>
      <c r="C9" s="104"/>
      <c r="D9" s="104"/>
      <c r="E9" s="104"/>
      <c r="F9" s="104"/>
      <c r="G9" s="104"/>
      <c r="H9" s="105"/>
      <c r="I9" s="1"/>
    </row>
    <row r="10" spans="1:9" x14ac:dyDescent="0.25">
      <c r="A10" s="1"/>
      <c r="B10" s="97" t="s">
        <v>53</v>
      </c>
      <c r="C10" s="98"/>
      <c r="D10" s="98"/>
      <c r="E10" s="98"/>
      <c r="F10" s="99"/>
      <c r="G10" s="22">
        <f>(G5-G6)*(1+'Fane 13. Nøgletal'!C9)</f>
        <v>4479862.55498097</v>
      </c>
      <c r="H10" s="14" t="s">
        <v>3</v>
      </c>
      <c r="I10" s="1"/>
    </row>
    <row r="11" spans="1:9" x14ac:dyDescent="0.25">
      <c r="A11" s="1"/>
      <c r="B11" s="100" t="s">
        <v>54</v>
      </c>
      <c r="C11" s="101"/>
      <c r="D11" s="101"/>
      <c r="E11" s="101"/>
      <c r="F11" s="102"/>
      <c r="G11" s="48">
        <v>0</v>
      </c>
      <c r="H11" s="14" t="s">
        <v>3</v>
      </c>
      <c r="I11" s="1"/>
    </row>
    <row r="12" spans="1:9" x14ac:dyDescent="0.25">
      <c r="A12" s="1"/>
      <c r="B12" s="97" t="s">
        <v>55</v>
      </c>
      <c r="C12" s="98"/>
      <c r="D12" s="98"/>
      <c r="E12" s="98"/>
      <c r="F12" s="99"/>
      <c r="G12" s="22">
        <f>G10*'Fane 13. Nøgletal'!C21+G11*'Fane 13. Nøgletal'!C22</f>
        <v>40766.749250326829</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103" t="s">
        <v>56</v>
      </c>
      <c r="C15" s="104"/>
      <c r="D15" s="104"/>
      <c r="E15" s="104"/>
      <c r="F15" s="104"/>
      <c r="G15" s="104"/>
      <c r="H15" s="105"/>
      <c r="I15" s="1"/>
    </row>
    <row r="16" spans="1:9" x14ac:dyDescent="0.25">
      <c r="A16" s="1"/>
      <c r="B16" s="97" t="s">
        <v>57</v>
      </c>
      <c r="C16" s="98"/>
      <c r="D16" s="98"/>
      <c r="E16" s="98"/>
      <c r="F16" s="99"/>
      <c r="G16" s="22">
        <f>(G10+G11-G12)*(1+'Fane 13. Nøgletal'!C11)</f>
        <v>4514116.5248474898</v>
      </c>
      <c r="H16" s="14" t="s">
        <v>3</v>
      </c>
      <c r="I16" s="1"/>
    </row>
    <row r="17" spans="1:9" x14ac:dyDescent="0.25">
      <c r="A17" s="1"/>
      <c r="B17" s="97" t="s">
        <v>101</v>
      </c>
      <c r="C17" s="98"/>
      <c r="D17" s="98"/>
      <c r="E17" s="98"/>
      <c r="F17" s="99"/>
      <c r="G17" s="47">
        <v>-75369.130331930603</v>
      </c>
      <c r="H17" s="14" t="s">
        <v>3</v>
      </c>
      <c r="I17" s="1"/>
    </row>
    <row r="18" spans="1:9" x14ac:dyDescent="0.25">
      <c r="A18" s="1"/>
      <c r="B18" s="100" t="s">
        <v>58</v>
      </c>
      <c r="C18" s="101"/>
      <c r="D18" s="101"/>
      <c r="E18" s="101"/>
      <c r="F18" s="102"/>
      <c r="G18" s="47">
        <v>0</v>
      </c>
      <c r="H18" s="14" t="s">
        <v>3</v>
      </c>
      <c r="I18" s="1"/>
    </row>
    <row r="19" spans="1:9" x14ac:dyDescent="0.25">
      <c r="A19" s="1"/>
      <c r="B19" s="97" t="s">
        <v>59</v>
      </c>
      <c r="C19" s="98"/>
      <c r="D19" s="98"/>
      <c r="E19" s="98"/>
      <c r="F19" s="99"/>
      <c r="G19" s="22">
        <f>(G16+G17+G18)*'Fane 13. Nøgletal'!C23</f>
        <v>38617.102332285358</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103" t="s">
        <v>60</v>
      </c>
      <c r="C22" s="104"/>
      <c r="D22" s="104"/>
      <c r="E22" s="104"/>
      <c r="F22" s="104"/>
      <c r="G22" s="104"/>
      <c r="H22" s="105"/>
      <c r="I22" s="1"/>
    </row>
    <row r="23" spans="1:9" x14ac:dyDescent="0.25">
      <c r="A23" s="1"/>
      <c r="B23" s="97" t="s">
        <v>61</v>
      </c>
      <c r="C23" s="98"/>
      <c r="D23" s="98"/>
      <c r="E23" s="98"/>
      <c r="F23" s="99"/>
      <c r="G23" s="22">
        <f>(SUM(G16:G18)-G19)*(1+'Fane 13. Nøgletal'!C11)</f>
        <v>4474492.4941211706</v>
      </c>
      <c r="H23" s="14" t="s">
        <v>3</v>
      </c>
      <c r="I23" s="1"/>
    </row>
    <row r="24" spans="1:9" x14ac:dyDescent="0.25">
      <c r="A24" s="1"/>
      <c r="B24" s="100" t="s">
        <v>62</v>
      </c>
      <c r="C24" s="101"/>
      <c r="D24" s="101"/>
      <c r="E24" s="101"/>
      <c r="F24" s="102"/>
      <c r="G24" s="47">
        <v>104940.61298325002</v>
      </c>
      <c r="H24" s="14" t="s">
        <v>3</v>
      </c>
      <c r="I24" s="1"/>
    </row>
    <row r="25" spans="1:9" x14ac:dyDescent="0.25">
      <c r="A25" s="1"/>
      <c r="B25" s="97" t="s">
        <v>63</v>
      </c>
      <c r="C25" s="98"/>
      <c r="D25" s="98"/>
      <c r="E25" s="98"/>
      <c r="F25" s="99"/>
      <c r="G25" s="22">
        <f>G23*'Fane 13. Nøgletal'!C23+G24*'Fane 13. Nøgletal'!C24</f>
        <v>41908.398107578483</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103" t="s">
        <v>119</v>
      </c>
      <c r="C28" s="104"/>
      <c r="D28" s="104"/>
      <c r="E28" s="104"/>
      <c r="F28" s="104"/>
      <c r="G28" s="104"/>
      <c r="H28" s="105"/>
      <c r="I28" s="1"/>
    </row>
    <row r="29" spans="1:9" x14ac:dyDescent="0.25">
      <c r="A29" s="1"/>
      <c r="B29" s="97" t="s">
        <v>64</v>
      </c>
      <c r="C29" s="98"/>
      <c r="D29" s="98"/>
      <c r="E29" s="98"/>
      <c r="F29" s="99"/>
      <c r="G29" s="22">
        <f>(G23+G24-G25)*(1+'Fane 13. Nøgletal'!C13)</f>
        <v>4592882.5104466043</v>
      </c>
      <c r="H29" s="14" t="s">
        <v>3</v>
      </c>
      <c r="I29" s="1"/>
    </row>
    <row r="30" spans="1:9" x14ac:dyDescent="0.25">
      <c r="A30" s="1"/>
      <c r="B30" s="97" t="s">
        <v>113</v>
      </c>
      <c r="C30" s="98"/>
      <c r="D30" s="98"/>
      <c r="E30" s="98"/>
      <c r="F30" s="99"/>
      <c r="G30" s="47">
        <v>190072.25169911998</v>
      </c>
      <c r="H30" s="14" t="s">
        <v>3</v>
      </c>
      <c r="I30" s="1"/>
    </row>
    <row r="31" spans="1:9" x14ac:dyDescent="0.25">
      <c r="A31" s="1"/>
      <c r="B31" s="97" t="s">
        <v>120</v>
      </c>
      <c r="C31" s="98"/>
      <c r="D31" s="98"/>
      <c r="E31" s="98"/>
      <c r="F31" s="99"/>
      <c r="G31" s="22">
        <f>(G29+G30)*'Fane 13. Nøgletal'!C25</f>
        <v>131531.25595900742</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103" t="s">
        <v>124</v>
      </c>
      <c r="C34" s="104"/>
      <c r="D34" s="104"/>
      <c r="E34" s="104"/>
      <c r="F34" s="104"/>
      <c r="G34" s="104"/>
      <c r="H34" s="105"/>
      <c r="I34" s="1"/>
    </row>
    <row r="35" spans="1:9" x14ac:dyDescent="0.25">
      <c r="A35" s="1"/>
      <c r="B35" s="97" t="s">
        <v>67</v>
      </c>
      <c r="C35" s="98"/>
      <c r="D35" s="98"/>
      <c r="E35" s="98"/>
      <c r="F35" s="99"/>
      <c r="G35" s="22">
        <f>(G29+G30-G31)*(1+'Fane 13. Nøgletal'!C13)</f>
        <v>4708170.8729621945</v>
      </c>
      <c r="H35" s="14" t="s">
        <v>3</v>
      </c>
      <c r="I35" s="1"/>
    </row>
    <row r="36" spans="1:9" x14ac:dyDescent="0.25">
      <c r="A36" s="1"/>
      <c r="B36" s="97" t="s">
        <v>129</v>
      </c>
      <c r="C36" s="98"/>
      <c r="D36" s="98"/>
      <c r="E36" s="98"/>
      <c r="F36" s="99"/>
      <c r="G36" s="22">
        <v>132742.78467519002</v>
      </c>
      <c r="H36" s="14" t="s">
        <v>3</v>
      </c>
      <c r="I36" s="1"/>
    </row>
    <row r="37" spans="1:9" x14ac:dyDescent="0.25">
      <c r="A37" s="1"/>
      <c r="B37" s="97" t="s">
        <v>125</v>
      </c>
      <c r="C37" s="98"/>
      <c r="D37" s="98"/>
      <c r="E37" s="98"/>
      <c r="F37" s="99"/>
      <c r="G37" s="22">
        <f>G35*'Fane 13. Nøgletal'!C25+G36*'Fane 13. Nøgletal'!C26</f>
        <v>131439.29221965314</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103" t="s">
        <v>159</v>
      </c>
      <c r="C40" s="104"/>
      <c r="D40" s="104"/>
      <c r="E40" s="104"/>
      <c r="F40" s="104"/>
      <c r="G40" s="104"/>
      <c r="H40" s="105"/>
      <c r="I40" s="1"/>
    </row>
    <row r="41" spans="1:9" x14ac:dyDescent="0.25">
      <c r="A41" s="1"/>
      <c r="B41" s="97" t="s">
        <v>66</v>
      </c>
      <c r="C41" s="98"/>
      <c r="D41" s="98"/>
      <c r="E41" s="98"/>
      <c r="F41" s="99"/>
      <c r="G41" s="22">
        <f>(G35+G36-G37)*(1+'Fane 13. Nøgletal'!C15)</f>
        <v>4877131.6528266035</v>
      </c>
      <c r="H41" s="14" t="s">
        <v>3</v>
      </c>
      <c r="I41" s="1"/>
    </row>
    <row r="42" spans="1:9" x14ac:dyDescent="0.25">
      <c r="A42" s="1"/>
      <c r="B42" s="97" t="s">
        <v>169</v>
      </c>
      <c r="C42" s="98"/>
      <c r="D42" s="98"/>
      <c r="E42" s="98"/>
      <c r="F42" s="99"/>
      <c r="G42" s="9">
        <v>695548.70632800006</v>
      </c>
      <c r="H42" s="14" t="s">
        <v>3</v>
      </c>
      <c r="I42" s="1"/>
    </row>
    <row r="43" spans="1:9" x14ac:dyDescent="0.25">
      <c r="A43" s="1"/>
      <c r="B43" s="97" t="s">
        <v>65</v>
      </c>
      <c r="C43" s="98"/>
      <c r="D43" s="98"/>
      <c r="E43" s="98"/>
      <c r="F43" s="99"/>
      <c r="G43" s="47">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103" t="s">
        <v>160</v>
      </c>
      <c r="C46" s="104"/>
      <c r="D46" s="104"/>
      <c r="E46" s="104"/>
      <c r="F46" s="104"/>
      <c r="G46" s="104"/>
      <c r="H46" s="105"/>
      <c r="I46" s="1"/>
    </row>
    <row r="47" spans="1:9" x14ac:dyDescent="0.25">
      <c r="A47" s="1"/>
      <c r="B47" s="97" t="s">
        <v>114</v>
      </c>
      <c r="C47" s="98"/>
      <c r="D47" s="98"/>
      <c r="E47" s="98"/>
      <c r="F47" s="99"/>
      <c r="G47" s="22">
        <f>(G41+G42-G43)*(1+'Fane 13. Nøgletal'!C15)</f>
        <v>5771067.7799405074</v>
      </c>
      <c r="H47" s="14" t="s">
        <v>3</v>
      </c>
      <c r="I47" s="1"/>
    </row>
    <row r="48" spans="1:9" x14ac:dyDescent="0.25">
      <c r="A48" s="1"/>
      <c r="B48" s="97" t="s">
        <v>210</v>
      </c>
      <c r="C48" s="98"/>
      <c r="D48" s="98"/>
      <c r="E48" s="98"/>
      <c r="F48" s="99"/>
      <c r="G48" s="22">
        <f>('Fane 2.1. Økonomisk ramme 2024'!C10+'Fane 2.1. Økonomisk ramme 2024'!C12+'Fane 2.1. Økonomisk ramme 2024'!C14)*(1+'Fane 13. Nøgletal'!C16)</f>
        <v>425990.81617791997</v>
      </c>
      <c r="H48" s="14" t="s">
        <v>3</v>
      </c>
      <c r="I48" s="1"/>
    </row>
    <row r="49" spans="1:9" x14ac:dyDescent="0.25">
      <c r="A49" s="1"/>
      <c r="B49" s="97" t="s">
        <v>211</v>
      </c>
      <c r="C49" s="98"/>
      <c r="D49" s="98"/>
      <c r="E49" s="98"/>
      <c r="F49" s="99"/>
      <c r="G49" s="47">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103" t="s">
        <v>130</v>
      </c>
      <c r="C52" s="104"/>
      <c r="D52" s="104"/>
      <c r="E52" s="104"/>
      <c r="F52" s="104"/>
      <c r="G52" s="104"/>
      <c r="H52" s="105"/>
      <c r="I52" s="1"/>
    </row>
    <row r="53" spans="1:9" x14ac:dyDescent="0.25">
      <c r="A53" s="1"/>
      <c r="B53" s="97" t="s">
        <v>131</v>
      </c>
      <c r="C53" s="98"/>
      <c r="D53" s="98"/>
      <c r="E53" s="98"/>
      <c r="F53" s="99"/>
      <c r="G53" s="22">
        <f>(G47+G48-G49)*(1+'Fane 13. Nøgletal'!C16)</f>
        <v>6697780.9306847965</v>
      </c>
      <c r="H53" s="14" t="s">
        <v>3</v>
      </c>
      <c r="I53" s="1"/>
    </row>
    <row r="54" spans="1:9" x14ac:dyDescent="0.25">
      <c r="A54" s="1"/>
      <c r="B54" s="97" t="s">
        <v>132</v>
      </c>
      <c r="C54" s="98"/>
      <c r="D54" s="98"/>
      <c r="E54" s="98"/>
      <c r="F54" s="99"/>
      <c r="G54" s="47">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103" t="s">
        <v>147</v>
      </c>
      <c r="C57" s="104"/>
      <c r="D57" s="104"/>
      <c r="E57" s="104"/>
      <c r="F57" s="104"/>
      <c r="G57" s="104"/>
      <c r="H57" s="105"/>
      <c r="I57" s="1"/>
    </row>
    <row r="58" spans="1:9" x14ac:dyDescent="0.25">
      <c r="A58" s="1"/>
      <c r="B58" s="97" t="s">
        <v>148</v>
      </c>
      <c r="C58" s="98"/>
      <c r="D58" s="98"/>
      <c r="E58" s="98"/>
      <c r="F58" s="99"/>
      <c r="G58" s="22">
        <f>(G53-G54)*(1+'Fane 13. Nøgletal'!C16)</f>
        <v>7238961.6298841275</v>
      </c>
      <c r="H58" s="14" t="s">
        <v>3</v>
      </c>
      <c r="I58" s="1"/>
    </row>
    <row r="59" spans="1:9" x14ac:dyDescent="0.25">
      <c r="A59" s="1"/>
      <c r="B59" s="97" t="s">
        <v>149</v>
      </c>
      <c r="C59" s="98"/>
      <c r="D59" s="98"/>
      <c r="E59" s="98"/>
      <c r="F59" s="99"/>
      <c r="G59" s="47">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103" t="s">
        <v>223</v>
      </c>
      <c r="C62" s="104"/>
      <c r="D62" s="104"/>
      <c r="E62" s="104"/>
      <c r="F62" s="104"/>
      <c r="G62" s="104"/>
      <c r="H62" s="105"/>
      <c r="I62" s="1"/>
    </row>
    <row r="63" spans="1:9" x14ac:dyDescent="0.25">
      <c r="A63" s="1"/>
      <c r="B63" s="97" t="s">
        <v>224</v>
      </c>
      <c r="C63" s="98"/>
      <c r="D63" s="98"/>
      <c r="E63" s="98"/>
      <c r="F63" s="99"/>
      <c r="G63" s="22">
        <f>(G58-G59)*(1+'Fane 13. Nøgletal'!C16)</f>
        <v>7823869.7295787651</v>
      </c>
      <c r="H63" s="14" t="s">
        <v>3</v>
      </c>
      <c r="I63" s="1"/>
    </row>
    <row r="64" spans="1:9" x14ac:dyDescent="0.25">
      <c r="A64" s="1"/>
      <c r="B64" s="97" t="s">
        <v>225</v>
      </c>
      <c r="C64" s="98"/>
      <c r="D64" s="98"/>
      <c r="E64" s="98"/>
      <c r="F64" s="99"/>
      <c r="G64" s="47">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fwLxO4X2Syd3Y41YCUSO9aydBnDtAQjzDpfDMFaTYTbEOMsRQVrEnvlfBZUAA50KggYOo3gcemRRBJbE2VMjWg==" saltValue="ciWNZ+n0WqmMlSn9HJS68w=="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3" t="s">
        <v>77</v>
      </c>
      <c r="C3" s="93"/>
      <c r="D3" s="93"/>
      <c r="E3" s="93"/>
      <c r="F3" s="93"/>
      <c r="G3" s="93"/>
      <c r="H3" s="1"/>
    </row>
    <row r="4" spans="1:8" ht="15" customHeight="1" x14ac:dyDescent="0.25">
      <c r="A4" s="1"/>
      <c r="B4" s="93"/>
      <c r="C4" s="93"/>
      <c r="D4" s="93"/>
      <c r="E4" s="93"/>
      <c r="F4" s="93"/>
      <c r="G4" s="9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3" t="s">
        <v>9</v>
      </c>
      <c r="C8" s="104"/>
      <c r="D8" s="104"/>
      <c r="E8" s="104"/>
      <c r="F8" s="104"/>
      <c r="G8" s="105"/>
      <c r="H8" s="1"/>
    </row>
    <row r="9" spans="1:8" x14ac:dyDescent="0.25">
      <c r="A9" s="1"/>
      <c r="B9" s="64" t="s">
        <v>150</v>
      </c>
      <c r="C9" s="65"/>
      <c r="D9" s="65"/>
      <c r="E9" s="65"/>
      <c r="F9" s="66"/>
      <c r="G9" s="136">
        <v>1.0781632995886354E-2</v>
      </c>
      <c r="H9" s="1"/>
    </row>
    <row r="10" spans="1:8" x14ac:dyDescent="0.25">
      <c r="A10" s="1"/>
      <c r="B10" s="51"/>
      <c r="C10" s="52"/>
      <c r="D10" s="52"/>
      <c r="E10" s="52"/>
      <c r="F10" s="52"/>
      <c r="G10" s="19"/>
      <c r="H10" s="1"/>
    </row>
    <row r="11" spans="1:8" ht="15" customHeight="1" x14ac:dyDescent="0.25">
      <c r="A11" s="1"/>
      <c r="B11" s="109" t="s">
        <v>236</v>
      </c>
      <c r="C11" s="110"/>
      <c r="D11" s="110"/>
      <c r="E11" s="110"/>
      <c r="F11" s="110"/>
      <c r="G11" s="111"/>
      <c r="H11" s="1"/>
    </row>
    <row r="12" spans="1:8" ht="13.5" customHeight="1" x14ac:dyDescent="0.25">
      <c r="A12" s="1"/>
      <c r="B12" s="112"/>
      <c r="C12" s="113"/>
      <c r="D12" s="113"/>
      <c r="E12" s="113"/>
      <c r="F12" s="113"/>
      <c r="G12" s="114"/>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QmuzVVSoO/Vhnv8NHgaq5cPMXiSsczQLXbI9+XB97MfTUSbeu9gOmXQ0feyZ9osAyr8qJQJM+tPtCZQdWkr7YA==" saltValue="bYRFQRjbdjQLkyr1j7cMnw=="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2023-08-22T07:59:45Z</dcterms:modified>
</cp:coreProperties>
</file>