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Denne_projektmappe" defaultThemeVersion="124226"/>
  <mc:AlternateContent xmlns:mc="http://schemas.openxmlformats.org/markup-compatibility/2006">
    <mc:Choice Requires="x15">
      <x15ac:absPath xmlns:x15ac="http://schemas.microsoft.com/office/spreadsheetml/2010/11/ac" url="E:\VAND\Sagsbehandling\Drikkevand\Novafos Vand Egedal AS (V041)\ØR2023\"/>
    </mc:Choice>
  </mc:AlternateContent>
  <xr:revisionPtr revIDLastSave="0" documentId="13_ncr:1_{90DC2DFA-9632-46EB-AE41-B8DFA1FD5A51}"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3" sheetId="2" r:id="rId2"/>
    <sheet name="Fane 2.2. Økonomisk ramme 2024" sheetId="3" r:id="rId3"/>
    <sheet name="Fane 2.3. Økonomisk ramme 2025" sheetId="4" r:id="rId4"/>
    <sheet name="Fane 2.4. Økonomisk ramme 2026" sheetId="5" r:id="rId5"/>
    <sheet name="Fane 3. Omkostninger i ØR2022" sheetId="6" r:id="rId6"/>
    <sheet name="Fane 4. Ikke-påvirkelige omk." sheetId="7" r:id="rId7"/>
    <sheet name="Fane 5. Kontrol af ØR2021" sheetId="8"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Z_61068CEC_D951_4EA8_B2F0_E3FAF0E2CE33_.wvu.Cols" localSheetId="1" hidden="1">'Fane 2.1. Økonomisk ramme 2023'!$C:$D</definedName>
    <definedName name="Z_61068CEC_D951_4EA8_B2F0_E3FAF0E2CE33_.wvu.Cols" localSheetId="2" hidden="1">'Fane 2.2. Økonomisk ramme 2024'!$C:$D</definedName>
    <definedName name="Z_61068CEC_D951_4EA8_B2F0_E3FAF0E2CE33_.wvu.Cols" localSheetId="3" hidden="1">'Fane 2.3. Økonomisk ramme 2025'!$C:$D</definedName>
    <definedName name="Z_61068CEC_D951_4EA8_B2F0_E3FAF0E2CE33_.wvu.Cols" localSheetId="4" hidden="1">'Fane 2.4. Økonomisk ramme 2026'!$C:$D</definedName>
  </definedNames>
  <calcPr calcId="191029" iterate="1" iterateCount="1"/>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C12" i="7" l="1"/>
  <c r="E13" i="10"/>
  <c r="C13" i="10"/>
  <c r="C13" i="7" l="1"/>
  <c r="E14" i="10" l="1"/>
  <c r="C14" i="10"/>
  <c r="E14" i="6" l="1"/>
  <c r="G18" i="15" l="1"/>
  <c r="E27" i="6" l="1"/>
  <c r="E17" i="5"/>
  <c r="E17" i="4"/>
  <c r="E17" i="3"/>
  <c r="E26" i="2"/>
  <c r="E16" i="8" l="1"/>
  <c r="E15" i="8"/>
  <c r="E24" i="8" l="1"/>
  <c r="E28" i="8" s="1"/>
  <c r="E30" i="8" s="1"/>
  <c r="E15" i="3" l="1"/>
  <c r="E24" i="2"/>
  <c r="C11" i="12"/>
  <c r="E11" i="12"/>
  <c r="E10" i="11"/>
  <c r="C10" i="11"/>
  <c r="H11" i="9"/>
  <c r="J11" i="9"/>
  <c r="F10" i="9" l="1"/>
  <c r="F11" i="9" s="1"/>
  <c r="E12" i="12"/>
  <c r="C12" i="12"/>
  <c r="E12" i="2" l="1"/>
  <c r="E11" i="11"/>
  <c r="C11" i="11"/>
  <c r="C10" i="10" l="1"/>
  <c r="C14" i="7"/>
  <c r="C15" i="10" l="1"/>
  <c r="E13" i="5"/>
  <c r="E13" i="4"/>
  <c r="E13" i="3"/>
  <c r="E22" i="6"/>
  <c r="E15" i="6" l="1"/>
  <c r="E16" i="6" s="1"/>
  <c r="E9" i="2" l="1"/>
  <c r="E28" i="6"/>
  <c r="E12" i="13"/>
  <c r="E13" i="13" s="1"/>
  <c r="C12" i="13"/>
  <c r="C13" i="13" s="1"/>
  <c r="E11" i="2" l="1"/>
  <c r="E19" i="2" l="1"/>
  <c r="E20" i="2"/>
  <c r="E21" i="2" l="1"/>
  <c r="E22" i="2" s="1"/>
  <c r="E17" i="2" l="1"/>
  <c r="E10" i="10" l="1"/>
  <c r="E15" i="10" l="1"/>
  <c r="E10" i="2" s="1"/>
  <c r="E13" i="2" s="1"/>
  <c r="E14" i="2" l="1"/>
  <c r="E15" i="2" s="1"/>
  <c r="E27" i="2" s="1"/>
  <c r="E8" i="3" l="1"/>
  <c r="E9" i="3" l="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<sst xmlns="http://schemas.openxmlformats.org/spreadsheetml/2006/main" count="328" uniqueCount="156">
  <si>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</si>
  <si>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</si>
  <si>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</si>
  <si>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</si>
  <si>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</si>
  <si>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</si>
  <si>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</si>
  <si>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</si>
  <si>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</si>
  <si>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</si>
  <si>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</si>
  <si>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</si>
  <si>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</si>
  <si>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</si>
  <si>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</si>
  <si>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</si>
  <si>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</si>
  <si>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</si>
  <si>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</si>
  <si>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</si>
  <si>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</si>
  <si>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</si>
  <si>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</si>
  <si>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Finansielle omkostninger</t>
  </si>
  <si>
    <t>Anlægsomkostninger</t>
  </si>
  <si>
    <t>Beskrivelse af ikke-påvirkelige omkostninger</t>
  </si>
  <si>
    <t>- Heraf Faktisk eller planlagt genanbringelse af væsentlige indtægter</t>
  </si>
  <si>
    <t>Korrektion og kontrol med prisloft 2016</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</si>
  <si>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</si>
  <si>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</si>
  <si>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</si>
  <si>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</si>
  <si>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</si>
  <si>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</si>
  <si>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</si>
  <si>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</si>
  <si>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</si>
  <si>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</si>
  <si>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</si>
  <si>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Økonomisk ramme for 2023</t>
  </si>
  <si>
    <t>Bortfald eller nedsættelse fra og med de økonomiske rammer for 2023</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</si>
  <si>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</si>
  <si>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</si>
  <si>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</si>
  <si>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</si>
  <si>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</si>
  <si>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</si>
  <si>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</si>
  <si>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</si>
  <si>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</si>
  <si>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</si>
  <si>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 xml:space="preserve">Bortfald eller nedsættelse af omkostninger </t>
  </si>
  <si>
    <t>Bortfald eller nedsættelse af omkostninger</t>
  </si>
  <si>
    <t>Tilknyttet virksomhed</t>
  </si>
  <si>
    <t>Tidligere tilknyttet virksomhed</t>
  </si>
  <si>
    <t>Videreførte omkostninger fra den økonomiske ramme for 2022</t>
  </si>
  <si>
    <t>Videreførte omkostninger fra den økonomiske ramme for 2023</t>
  </si>
  <si>
    <t>Økonomisk ramme for 2024</t>
  </si>
  <si>
    <t>Tilknyttet virksomhed under hovedvirksomheden</t>
  </si>
  <si>
    <t>Prisudvikling til brug for nye omkostninger i ØR2021</t>
  </si>
  <si>
    <t>Engangstillæg i alt i 2023-prisniveau</t>
  </si>
  <si>
    <t>Beskrivelse af tilknyttet virksomhed</t>
  </si>
  <si>
    <t>Kontrol med overholdelse af økonomiske rammer</t>
  </si>
  <si>
    <t>Kontrol med overholdelse af den økonomiske ramme</t>
  </si>
  <si>
    <t>Vejledende økonomisk ramme for 2025</t>
  </si>
  <si>
    <t>Videreførte omkostninger fra den økonomiske ramme for 2024</t>
  </si>
  <si>
    <t>Økonomisk ramme for 2025</t>
  </si>
  <si>
    <t>Nye tillæg i alt i 2021-prisniveau</t>
  </si>
  <si>
    <t>Tilknyttet virksomhed under hovedvirksomheden i alt (2021-prisniveau)</t>
  </si>
  <si>
    <t>Prisudvikling til brug for ØR2018-2021</t>
  </si>
  <si>
    <t>Prisudvikling til brug for nye omkostninger i ØR2022</t>
  </si>
  <si>
    <t>Prisudvikling til brug for ØR2017-2020</t>
  </si>
  <si>
    <t>Tidligere opgjorte over/underdækninger</t>
  </si>
  <si>
    <t>Allerede indregnet fradrag i jeres økonomiske rammer</t>
  </si>
  <si>
    <t xml:space="preserve">Note: Opgørelsen af over/underækningen er taget fra jeres tidligere fremsendte økonomiske rammer og statusmeddelelser. I kan derfor ikke komme med høringssvar til denne opgørelse. </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</si>
  <si>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</si>
  <si>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</si>
  <si>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</si>
  <si>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</si>
  <si>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</si>
  <si>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</si>
  <si>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</si>
  <si>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</si>
  <si>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</si>
  <si>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</si>
  <si>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</si>
  <si>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</si>
  <si>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</si>
  <si>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</si>
  <si>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</si>
  <si>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</si>
  <si>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</si>
  <si>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Faktiske ikke-påvirkelige omkostninger i 2021</t>
  </si>
  <si>
    <t>Ikke-påvirkelige omkostninger i 2021-prisniveau</t>
  </si>
  <si>
    <t>Ikke-påvirkelige omkostninger i 2023-prisniveau</t>
  </si>
  <si>
    <t>Over/underdækning i 2020</t>
  </si>
  <si>
    <t>Indregnet fradrag i økonomisk ramme for 2023</t>
  </si>
  <si>
    <t>Kontrol med overholdelse af den økonomiske ramme for 2021</t>
  </si>
  <si>
    <t>Indtægtsramme i den økonomiske ramme for 2021</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</si>
  <si>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</si>
  <si>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</si>
  <si>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</si>
  <si>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</si>
  <si>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</si>
  <si>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 Heraf nye omkostninger i ØR21</t>
  </si>
  <si>
    <t>Bortfald eller nedsættelse i alt i 2021-prisniveau</t>
  </si>
  <si>
    <t>Til økonomiske rammer for 2023-2024</t>
  </si>
  <si>
    <t>Effektiviseringskrav på engangstillæg</t>
  </si>
  <si>
    <t>Engangstillæg i alt i 2021-prisniveau</t>
  </si>
  <si>
    <t xml:space="preserve">Anlægsprojekter (§ 19) </t>
  </si>
  <si>
    <t>Omkostninger i 2021</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</si>
  <si>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</si>
  <si>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</si>
  <si>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</si>
  <si>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</si>
  <si>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</si>
  <si>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</si>
  <si>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</si>
  <si>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</si>
  <si>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</si>
  <si>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</si>
  <si>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</si>
  <si>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</si>
  <si>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</si>
  <si>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</si>
  <si>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</si>
  <si>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Samlet tilbagebetaling</t>
  </si>
  <si>
    <t>Fane 6: Indtægter til tilbagebetaling som følge af skattesagen</t>
  </si>
  <si>
    <t>Afgift for ledningsført vand</t>
  </si>
  <si>
    <t>Afgift til Forsyningssekretariatet</t>
  </si>
  <si>
    <t>Korrigeret over/underdækning i 2020</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</si>
  <si>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 modregninger af over/underdækninger fra tideligere år.</t>
  </si>
  <si>
    <t>Indregnet fradrag i økonomisk ramme for 2024</t>
  </si>
  <si>
    <t>Faktiske indtægter i 2021</t>
  </si>
  <si>
    <t>Resultat af kontrol med overholdelse af den økonomiske rammer for 2021</t>
  </si>
  <si>
    <t>Til indregning i de økonomiske rammer for 2023-2024</t>
  </si>
  <si>
    <t>Ingen anlægsprojekter</t>
  </si>
  <si>
    <t>Anlægsprojekter igangsat senest 1. marts 2016</t>
  </si>
  <si>
    <t>Udvikling af nye rensemetoder</t>
  </si>
  <si>
    <t>Byudvikling af Egedal By</t>
  </si>
  <si>
    <t>Ingen engangstillæg</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</si>
  <si>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</si>
  <si>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</si>
  <si>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</si>
  <si>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</si>
  <si>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</si>
  <si>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</si>
  <si>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</si>
  <si>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</si>
  <si>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</si>
  <si>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</si>
  <si>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Økonomisk ramme for 2022</t>
  </si>
  <si>
    <t>Fane 7</t>
  </si>
  <si>
    <t>Fane 5: Kontrol med overholdelse af den økonomiske ramme for 2021</t>
  </si>
  <si>
    <t>Fusion med Ny Seprrestrup Vandværk</t>
  </si>
  <si>
    <t>Fusion med Ny Sperrestrup Vandværk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</si>
</sst>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
      <sz val="10"/>
      <color rgb="FF000000"/>
      <name val="Times New Roman"/>
      <family val="1"/>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14" fillId="7" borderId="1" xfId="0" applyFont="1" applyFill="1" applyBorder="1" applyAlignment="1" applyProtection="1"/>
    <xf numFmtId="0" fontId="15" fillId="7" borderId="1" xfId="0" applyFont="1" applyFill="1" applyBorder="1" applyAlignment="1" applyProtection="1"/>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8" fillId="9" borderId="1" xfId="0" applyFont="1" applyFill="1" applyBorder="1" applyAlignment="1" applyProtection="1"/>
    <xf numFmtId="0" fontId="8" fillId="9" borderId="1" xfId="0" applyFont="1" applyFill="1" applyBorder="1" applyAlignment="1" applyProtection="1">
      <alignment wrapText="1"/>
    </xf>
    <xf numFmtId="3" fontId="16" fillId="4" borderId="1" xfId="0" applyNumberFormat="1" applyFont="1" applyFill="1" applyBorder="1" applyProtection="1"/>
    <xf numFmtId="0" fontId="16" fillId="4" borderId="1" xfId="0" applyFont="1" applyFill="1" applyBorder="1" applyAlignment="1" applyProtection="1">
      <alignment wrapText="1"/>
    </xf>
    <xf numFmtId="0" fontId="17" fillId="3" borderId="1" xfId="0" applyFont="1" applyFill="1" applyBorder="1" applyAlignment="1" applyProtection="1"/>
    <xf numFmtId="3" fontId="17" fillId="3" borderId="1" xfId="0" applyNumberFormat="1" applyFont="1" applyFill="1" applyBorder="1" applyProtection="1"/>
    <xf numFmtId="0" fontId="17" fillId="3" borderId="1" xfId="0" applyFont="1" applyFill="1" applyBorder="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1" fontId="15" fillId="7" borderId="1" xfId="0" applyNumberFormat="1" applyFont="1" applyFill="1" applyBorder="1" applyAlignment="1" applyProtection="1"/>
    <xf numFmtId="3" fontId="8" fillId="4" borderId="3" xfId="0" applyNumberFormat="1" applyFont="1" applyFill="1" applyBorder="1" applyAlignment="1" applyProtection="1">
      <alignment horizontal="right"/>
    </xf>
    <xf numFmtId="3" fontId="8" fillId="0" borderId="1" xfId="0" applyNumberFormat="1" applyFont="1" applyFill="1" applyBorder="1" applyProtection="1"/>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0" fontId="8" fillId="7" borderId="1" xfId="0" quotePrefix="1"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7" borderId="1" xfId="0" applyFont="1" applyFill="1" applyBorder="1" applyAlignment="1" applyProtection="1">
      <alignment horizontal="left" wrapText="1"/>
    </xf>
    <xf numFmtId="0" fontId="8" fillId="7" borderId="1" xfId="0" quotePrefix="1" applyFont="1" applyFill="1" applyBorder="1" applyAlignment="1" applyProtection="1">
      <alignment wrapText="1"/>
    </xf>
    <xf numFmtId="0" fontId="16" fillId="4" borderId="1" xfId="0"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7" borderId="2" xfId="0" quotePrefix="1" applyFont="1" applyFill="1" applyBorder="1" applyAlignment="1" applyProtection="1">
      <alignment horizontal="left" wrapText="1"/>
    </xf>
    <xf numFmtId="0" fontId="8" fillId="7" borderId="6" xfId="0" quotePrefix="1" applyFont="1" applyFill="1" applyBorder="1" applyAlignment="1" applyProtection="1">
      <alignment horizontal="left" wrapText="1"/>
    </xf>
    <xf numFmtId="0" fontId="8" fillId="7" borderId="3"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xr:uid="{00000000-0005-0000-0000-000002000000}"/>
    <cellStyle name="Procent" xfId="3"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49"/>
  <sheetViews>
    <sheetView showGridLines="0" tabSelected="1" view="pageLayout" zoomScale="87" zoomScaleNormal="100" zoomScalePageLayoutView="87" workbookViewId="0">
      <selection activeCell="D6" sqref="D6:G7"/>
    </sheetView>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7" width="9.140625" style="2"/>
    <col min="8" max="8" width="5.85546875" style="2" customWidth="1"/>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79" t="s">
        <v>4</v>
      </c>
      <c r="E6" s="79"/>
      <c r="F6" s="79"/>
      <c r="G6" s="79"/>
      <c r="H6" s="3"/>
      <c r="I6" s="1"/>
    </row>
    <row r="7" spans="1:9" ht="15" customHeight="1" x14ac:dyDescent="0.25">
      <c r="A7" s="1"/>
      <c r="B7" s="1"/>
      <c r="C7" s="3"/>
      <c r="D7" s="79"/>
      <c r="E7" s="79"/>
      <c r="F7" s="79"/>
      <c r="G7" s="79"/>
      <c r="H7" s="3"/>
      <c r="I7" s="1"/>
    </row>
    <row r="8" spans="1:9" ht="15.75" x14ac:dyDescent="0.25">
      <c r="A8" s="1"/>
      <c r="B8" s="1"/>
      <c r="C8" s="4"/>
      <c r="D8" s="84" t="s">
        <v>106</v>
      </c>
      <c r="E8" s="84"/>
      <c r="F8" s="84"/>
      <c r="G8" s="84"/>
      <c r="H8" s="1"/>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3" t="s">
        <v>5</v>
      </c>
      <c r="E11" s="83"/>
      <c r="F11" s="83"/>
      <c r="G11" s="83"/>
      <c r="H11" s="5"/>
      <c r="I11" s="1"/>
    </row>
    <row r="12" spans="1:9" x14ac:dyDescent="0.25">
      <c r="A12" s="1"/>
      <c r="B12" s="1"/>
      <c r="C12" s="1"/>
      <c r="D12" s="1"/>
      <c r="E12" s="1"/>
      <c r="F12" s="1"/>
      <c r="G12" s="1"/>
      <c r="H12" s="1"/>
      <c r="I12" s="1"/>
    </row>
    <row r="13" spans="1:9" x14ac:dyDescent="0.25">
      <c r="A13" s="1"/>
      <c r="B13" s="1"/>
      <c r="C13" s="6" t="s">
        <v>6</v>
      </c>
      <c r="D13" s="76" t="s">
        <v>79</v>
      </c>
      <c r="E13" s="77"/>
      <c r="F13" s="77"/>
      <c r="G13" s="78"/>
      <c r="H13" s="1"/>
      <c r="I13" s="1"/>
    </row>
    <row r="14" spans="1:9" x14ac:dyDescent="0.25">
      <c r="A14" s="1"/>
      <c r="B14" s="1"/>
      <c r="C14" s="6" t="s">
        <v>14</v>
      </c>
      <c r="D14" s="76" t="s">
        <v>111</v>
      </c>
      <c r="E14" s="77"/>
      <c r="F14" s="77"/>
      <c r="G14" s="78"/>
      <c r="H14" s="1"/>
      <c r="I14" s="1"/>
    </row>
    <row r="15" spans="1:9" x14ac:dyDescent="0.25">
      <c r="A15" s="1"/>
      <c r="B15" s="1"/>
      <c r="C15" s="6" t="s">
        <v>28</v>
      </c>
      <c r="D15" s="76" t="s">
        <v>64</v>
      </c>
      <c r="E15" s="77"/>
      <c r="F15" s="77"/>
      <c r="G15" s="78"/>
      <c r="H15" s="1"/>
      <c r="I15" s="1"/>
    </row>
    <row r="16" spans="1:9" x14ac:dyDescent="0.25">
      <c r="A16" s="1"/>
      <c r="B16" s="1"/>
      <c r="C16" s="6" t="s">
        <v>29</v>
      </c>
      <c r="D16" s="76" t="s">
        <v>80</v>
      </c>
      <c r="E16" s="77"/>
      <c r="F16" s="77"/>
      <c r="G16" s="78"/>
      <c r="H16" s="1"/>
      <c r="I16" s="1"/>
    </row>
    <row r="17" spans="1:9" x14ac:dyDescent="0.25">
      <c r="A17" s="1"/>
      <c r="B17" s="1"/>
      <c r="C17" s="6" t="s">
        <v>49</v>
      </c>
      <c r="D17" s="76" t="s">
        <v>81</v>
      </c>
      <c r="E17" s="77"/>
      <c r="F17" s="77"/>
      <c r="G17" s="78"/>
      <c r="H17" s="1"/>
      <c r="I17" s="1"/>
    </row>
    <row r="18" spans="1:9" x14ac:dyDescent="0.25">
      <c r="A18" s="1"/>
      <c r="B18" s="1"/>
      <c r="C18" s="6" t="s">
        <v>7</v>
      </c>
      <c r="D18" s="88" t="s">
        <v>11</v>
      </c>
      <c r="E18" s="89"/>
      <c r="F18" s="89"/>
      <c r="G18" s="90"/>
      <c r="H18" s="1"/>
      <c r="I18" s="1"/>
    </row>
    <row r="19" spans="1:9" x14ac:dyDescent="0.25">
      <c r="A19" s="1"/>
      <c r="B19" s="1"/>
      <c r="C19" s="6" t="s">
        <v>8</v>
      </c>
      <c r="D19" s="80" t="s">
        <v>82</v>
      </c>
      <c r="E19" s="81"/>
      <c r="F19" s="81"/>
      <c r="G19" s="82"/>
      <c r="H19" s="1"/>
      <c r="I19" s="1"/>
    </row>
    <row r="20" spans="1:9" x14ac:dyDescent="0.25">
      <c r="A20" s="1"/>
      <c r="B20" s="1"/>
      <c r="C20" s="6" t="s">
        <v>46</v>
      </c>
      <c r="D20" s="80" t="s">
        <v>114</v>
      </c>
      <c r="E20" s="81"/>
      <c r="F20" s="81"/>
      <c r="G20" s="82"/>
      <c r="H20" s="1"/>
      <c r="I20" s="1"/>
    </row>
    <row r="21" spans="1:9" x14ac:dyDescent="0.25">
      <c r="A21" s="1"/>
      <c r="B21" s="1"/>
      <c r="C21" s="6" t="s">
        <v>152</v>
      </c>
      <c r="D21" s="80" t="s">
        <v>109</v>
      </c>
      <c r="E21" s="81"/>
      <c r="F21" s="81"/>
      <c r="G21" s="82"/>
      <c r="H21" s="1"/>
      <c r="I21" s="1"/>
    </row>
    <row r="22" spans="1:9" x14ac:dyDescent="0.25">
      <c r="A22" s="1"/>
      <c r="B22" s="1"/>
      <c r="C22" s="6" t="s">
        <v>121</v>
      </c>
      <c r="D22" s="80" t="s">
        <v>35</v>
      </c>
      <c r="E22" s="81"/>
      <c r="F22" s="81"/>
      <c r="G22" s="82"/>
      <c r="H22" s="1"/>
      <c r="I22" s="1"/>
    </row>
    <row r="23" spans="1:9" x14ac:dyDescent="0.25">
      <c r="A23" s="1"/>
      <c r="B23" s="1"/>
      <c r="C23" s="6" t="s">
        <v>122</v>
      </c>
      <c r="D23" s="80" t="s">
        <v>36</v>
      </c>
      <c r="E23" s="81"/>
      <c r="F23" s="81"/>
      <c r="G23" s="82"/>
      <c r="H23" s="1"/>
      <c r="I23" s="1"/>
    </row>
    <row r="24" spans="1:9" x14ac:dyDescent="0.25">
      <c r="A24" s="1"/>
      <c r="B24" s="1"/>
      <c r="C24" s="6" t="s">
        <v>9</v>
      </c>
      <c r="D24" s="80" t="s">
        <v>53</v>
      </c>
      <c r="E24" s="81"/>
      <c r="F24" s="81"/>
      <c r="G24" s="82"/>
      <c r="H24" s="1"/>
      <c r="I24" s="1"/>
    </row>
    <row r="25" spans="1:9" x14ac:dyDescent="0.25">
      <c r="A25" s="1"/>
      <c r="B25" s="1"/>
      <c r="C25" s="6" t="s">
        <v>41</v>
      </c>
      <c r="D25" s="80" t="s">
        <v>30</v>
      </c>
      <c r="E25" s="81"/>
      <c r="F25" s="81"/>
      <c r="G25" s="82"/>
      <c r="H25" s="1"/>
      <c r="I25" s="1"/>
    </row>
    <row r="26" spans="1:9" x14ac:dyDescent="0.25">
      <c r="A26" s="1"/>
      <c r="B26" s="1"/>
      <c r="C26" s="6" t="s">
        <v>123</v>
      </c>
      <c r="D26" s="85" t="s">
        <v>47</v>
      </c>
      <c r="E26" s="86"/>
      <c r="F26" s="86"/>
      <c r="G26" s="87"/>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algorithmName="SHA-512" hashValue="Jf5xVSvJKfLumWEGNS7Dy/llHfD7TaPrucNG/mGGlYQIdKCAWuJB6nrnNfpIxj7JRpeZIsOVAAz2vfcVN51S9Q==" saltValue="eLc2j8mSA27e6rKaEJ6Lpg=="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25:G25"/>
    <mergeCell ref="D26:G26"/>
    <mergeCell ref="D18:G18"/>
    <mergeCell ref="D21:G21"/>
    <mergeCell ref="D22:G22"/>
    <mergeCell ref="D24:G24"/>
    <mergeCell ref="D23:G23"/>
    <mergeCell ref="D20:G20"/>
    <mergeCell ref="D14:G14"/>
    <mergeCell ref="D6:G7"/>
    <mergeCell ref="D19:G19"/>
    <mergeCell ref="D11:G11"/>
    <mergeCell ref="D8:G8"/>
    <mergeCell ref="D15:G15"/>
    <mergeCell ref="D16:G16"/>
    <mergeCell ref="D13:G13"/>
    <mergeCell ref="D17:G17"/>
  </mergeCells>
  <hyperlinks>
    <hyperlink ref="D14:G14" location="'Fane 2.2. Økonomisk ramme 2024'!A1" display="Vejledende økonomisk ramme for 2024" xr:uid="{00000000-0004-0000-0000-000000000000}"/>
    <hyperlink ref="D22:G22" location="'Fane 7.1. Varige tillæg'!A1" display="Varige tillæg" xr:uid="{00000000-0004-0000-0000-000001000000}"/>
    <hyperlink ref="D24:G24" location="'Fane 9. Tilknyttet virksomhed'!A1" display="Tilknyttet virksomhed" xr:uid="{00000000-0004-0000-0000-000002000000}"/>
    <hyperlink ref="D25:G25" location="'Fane 10. Bortfald'!A1" display="Bortfald" xr:uid="{00000000-0004-0000-0000-000003000000}"/>
    <hyperlink ref="D13:G13" location="'Fane 2.1. Økonomisk ramme 2023'!A1" display="Samlet økonomisk ramme for 2023" xr:uid="{00000000-0004-0000-0000-000004000000}"/>
    <hyperlink ref="D16:G16" location="'Fane 2.4. Økonomisk ramme 2026'!A1" display="Vejledende økonomisk ramme for 2026" xr:uid="{00000000-0004-0000-0000-000005000000}"/>
    <hyperlink ref="D15:G15" location="'Fane 2.3. Økonomisk ramme 2025'!A1" display="Vejledende økonomisk ramme for 2025" xr:uid="{00000000-0004-0000-0000-000006000000}"/>
    <hyperlink ref="D18:G18" location="'Fane 4. Ikke-påvirkelige omk.'!A1" display="Ikke-påvirkelige omkostninger" xr:uid="{00000000-0004-0000-0000-000007000000}"/>
    <hyperlink ref="D19:G19" location="'Fane 5. Kontrol af ØR2021'!A1" display="Kontrol af den økonomiske ramme for 2021" xr:uid="{00000000-0004-0000-0000-000008000000}"/>
    <hyperlink ref="D26:G26" location="'Fane 11. Nøgletal'!A1" display="Nøgletal" xr:uid="{00000000-0004-0000-0000-000009000000}"/>
    <hyperlink ref="D17:G17" location="'Fane 3. Omkostninger i ØR2022'!A1" display="Omkostninger i ØR2022" xr:uid="{00000000-0004-0000-0000-00000A000000}"/>
    <hyperlink ref="D23:G23" location="'Fane 8.2. Engangstillæg'!A1" display="Engangstillæg" xr:uid="{00000000-0004-0000-0000-00000B000000}"/>
    <hyperlink ref="D21:G21" location="'Fane 7. Anlægsprojekter (§ 19)'!A1" display="Anlægsprojekter (§ 19) " xr:uid="{00000000-0004-0000-0000-00000C000000}"/>
    <hyperlink ref="D20:G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46"/>
  <sheetViews>
    <sheetView showGridLines="0" view="pageLayout" zoomScaleNormal="100" workbookViewId="0"/>
  </sheetViews>
  <sheetFormatPr defaultColWidth="9.140625" defaultRowHeight="15" x14ac:dyDescent="0.25"/>
  <cols>
    <col min="1" max="1" width="3.5703125" style="2" customWidth="1"/>
    <col min="2" max="2" width="22.8554687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1" t="s">
        <v>115</v>
      </c>
      <c r="C3" s="91"/>
      <c r="D3" s="91"/>
      <c r="E3" s="91"/>
      <c r="F3" s="91"/>
      <c r="G3" s="91"/>
      <c r="H3" s="91"/>
      <c r="I3" s="91"/>
      <c r="J3" s="91"/>
      <c r="K3" s="91"/>
      <c r="L3" s="1"/>
    </row>
    <row r="4" spans="1:12" ht="15" customHeight="1" x14ac:dyDescent="0.25">
      <c r="A4" s="1"/>
      <c r="B4" s="91"/>
      <c r="C4" s="91"/>
      <c r="D4" s="91"/>
      <c r="E4" s="91"/>
      <c r="F4" s="91"/>
      <c r="G4" s="91"/>
      <c r="H4" s="91"/>
      <c r="I4" s="91"/>
      <c r="J4" s="91"/>
      <c r="K4" s="91"/>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2" t="s">
        <v>102</v>
      </c>
      <c r="C8" s="113"/>
      <c r="D8" s="113"/>
      <c r="E8" s="113"/>
      <c r="F8" s="113"/>
      <c r="G8" s="113"/>
      <c r="H8" s="113"/>
      <c r="I8" s="113"/>
      <c r="J8" s="113"/>
      <c r="K8" s="114"/>
      <c r="L8" s="1"/>
    </row>
    <row r="9" spans="1:12" ht="39.75" customHeight="1" x14ac:dyDescent="0.25">
      <c r="A9" s="1"/>
      <c r="B9" s="49" t="s">
        <v>0</v>
      </c>
      <c r="C9" s="16" t="s">
        <v>1</v>
      </c>
      <c r="D9" s="128" t="s">
        <v>112</v>
      </c>
      <c r="E9" s="129"/>
      <c r="F9" s="128" t="s">
        <v>2</v>
      </c>
      <c r="G9" s="129"/>
      <c r="H9" s="128" t="s">
        <v>113</v>
      </c>
      <c r="I9" s="129"/>
      <c r="J9" s="128" t="s">
        <v>23</v>
      </c>
      <c r="K9" s="129"/>
      <c r="L9" s="1"/>
    </row>
    <row r="10" spans="1:12" x14ac:dyDescent="0.25">
      <c r="A10" s="1"/>
      <c r="B10" s="57" t="s">
        <v>136</v>
      </c>
      <c r="C10" s="30"/>
      <c r="D10" s="8">
        <v>0</v>
      </c>
      <c r="E10" s="12" t="s">
        <v>3</v>
      </c>
      <c r="F10" s="8">
        <f>IFERROR(D10/C10,0)</f>
        <v>0</v>
      </c>
      <c r="G10" s="12" t="s">
        <v>3</v>
      </c>
      <c r="H10" s="8">
        <v>0</v>
      </c>
      <c r="I10" s="12" t="s">
        <v>3</v>
      </c>
      <c r="J10" s="8">
        <v>0</v>
      </c>
      <c r="K10" s="12" t="s">
        <v>3</v>
      </c>
      <c r="L10" s="1"/>
    </row>
    <row r="11" spans="1:12" x14ac:dyDescent="0.25">
      <c r="A11" s="1"/>
      <c r="B11" s="65" t="s">
        <v>103</v>
      </c>
      <c r="C11" s="66"/>
      <c r="D11" s="67"/>
      <c r="E11" s="67"/>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xo4K/R9jj2h3rPhYMfYXprNRVGap+5yKV07FChSQPsWbX8tBQXorlsZQ9VhXqvrFVt/159ueHDxWFUKLCT49BQ==" saltValue="/dt9FGIeVkNoEQM2AXN5XQ=="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1"/>
  <sheetViews>
    <sheetView showGridLines="0" view="pageLayout" zoomScaleNormal="100" workbookViewId="0">
      <selection activeCell="B3" sqref="B3:F4"/>
    </sheetView>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116</v>
      </c>
      <c r="C3" s="91"/>
      <c r="D3" s="91"/>
      <c r="E3" s="91"/>
      <c r="F3" s="91"/>
      <c r="G3" s="1"/>
    </row>
    <row r="4" spans="1:7" ht="15" customHeight="1" x14ac:dyDescent="0.25">
      <c r="A4" s="1"/>
      <c r="B4" s="91"/>
      <c r="C4" s="91"/>
      <c r="D4" s="91"/>
      <c r="E4" s="91"/>
      <c r="F4" s="9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4" t="s">
        <v>32</v>
      </c>
      <c r="C8" s="22"/>
      <c r="D8" s="22"/>
      <c r="E8" s="22"/>
      <c r="F8" s="75"/>
      <c r="G8" s="1"/>
    </row>
    <row r="9" spans="1:7" ht="17.25" customHeight="1" x14ac:dyDescent="0.25">
      <c r="A9" s="1"/>
      <c r="B9" s="63" t="s">
        <v>15</v>
      </c>
      <c r="C9" s="63" t="s">
        <v>10</v>
      </c>
      <c r="D9" s="64"/>
      <c r="E9" s="63" t="s">
        <v>24</v>
      </c>
      <c r="F9" s="73"/>
      <c r="G9" s="1"/>
    </row>
    <row r="10" spans="1:7" x14ac:dyDescent="0.25">
      <c r="A10" s="1"/>
      <c r="B10" s="20" t="s">
        <v>137</v>
      </c>
      <c r="C10" s="19">
        <f>'Fane 7. Anlægsprojekter (§ 19)'!H11</f>
        <v>0</v>
      </c>
      <c r="D10" s="12" t="s">
        <v>3</v>
      </c>
      <c r="E10" s="8">
        <f>SUM('Fane 7. Anlægsprojekter (§ 19)'!F11,'Fane 7. Anlægsprojekter (§ 19)'!J11)</f>
        <v>0</v>
      </c>
      <c r="F10" s="12" t="s">
        <v>3</v>
      </c>
      <c r="G10" s="1"/>
    </row>
    <row r="11" spans="1:7" x14ac:dyDescent="0.25">
      <c r="A11" s="1"/>
      <c r="B11" s="20" t="s">
        <v>138</v>
      </c>
      <c r="C11" s="19">
        <v>139312</v>
      </c>
      <c r="D11" s="12" t="s">
        <v>3</v>
      </c>
      <c r="E11" s="8">
        <v>0</v>
      </c>
      <c r="F11" s="12" t="s">
        <v>3</v>
      </c>
      <c r="G11" s="1"/>
    </row>
    <row r="12" spans="1:7" x14ac:dyDescent="0.25">
      <c r="A12" s="1"/>
      <c r="B12" s="20" t="s">
        <v>139</v>
      </c>
      <c r="C12" s="19">
        <v>59122</v>
      </c>
      <c r="D12" s="12" t="s">
        <v>3</v>
      </c>
      <c r="E12" s="8">
        <v>30137</v>
      </c>
      <c r="F12" s="12" t="s">
        <v>3</v>
      </c>
      <c r="G12" s="1"/>
    </row>
    <row r="13" spans="1:7" x14ac:dyDescent="0.25">
      <c r="A13" s="1"/>
      <c r="B13" s="20" t="s">
        <v>154</v>
      </c>
      <c r="C13" s="19">
        <f>57681*0.5</f>
        <v>28840.5</v>
      </c>
      <c r="D13" s="12" t="s">
        <v>3</v>
      </c>
      <c r="E13" s="8">
        <f>7570*0.5</f>
        <v>3785</v>
      </c>
      <c r="F13" s="12" t="s">
        <v>3</v>
      </c>
      <c r="G13" s="1"/>
    </row>
    <row r="14" spans="1:7" x14ac:dyDescent="0.25">
      <c r="A14" s="1"/>
      <c r="B14" s="74" t="s">
        <v>67</v>
      </c>
      <c r="C14" s="10">
        <f>SUM(C10:C13)</f>
        <v>227274.5</v>
      </c>
      <c r="D14" s="11" t="s">
        <v>3</v>
      </c>
      <c r="E14" s="10">
        <f>SUM(E10:E13)</f>
        <v>33922</v>
      </c>
      <c r="F14" s="11" t="s">
        <v>3</v>
      </c>
      <c r="G14" s="1"/>
    </row>
    <row r="15" spans="1:7" x14ac:dyDescent="0.25">
      <c r="A15" s="1"/>
      <c r="B15" s="74" t="s">
        <v>99</v>
      </c>
      <c r="C15" s="10">
        <f>C14*(1+'Fane 11. Nøgletal'!C15)</f>
        <v>235365.47220000002</v>
      </c>
      <c r="D15" s="11" t="s">
        <v>3</v>
      </c>
      <c r="E15" s="10">
        <f>E14*(1+'Fane 11. Nøgletal'!C15)</f>
        <v>35129.623200000002</v>
      </c>
      <c r="F15" s="11"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1"/>
      <c r="B51" s="1"/>
      <c r="C51" s="1"/>
      <c r="D51" s="1"/>
      <c r="E51" s="1"/>
      <c r="F51" s="1"/>
      <c r="G51" s="1"/>
    </row>
  </sheetData>
  <sheetProtection algorithmName="SHA-512" hashValue="4dS8fIktKQr7AH58Vb6HLzDsSFrL28QnY8Zy9CuRfJO15coBUn+WvLhbdp7LpXeuJZiXqaNku1MyhXVBLpmaYw==" saltValue="yrws8+DoTYDXIPsfUb/OBA=="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3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117</v>
      </c>
      <c r="C3" s="91"/>
      <c r="D3" s="91"/>
      <c r="E3" s="91"/>
      <c r="F3" s="91"/>
      <c r="G3" s="1"/>
    </row>
    <row r="4" spans="1:7" ht="15" customHeight="1" x14ac:dyDescent="0.25">
      <c r="A4" s="1"/>
      <c r="B4" s="91"/>
      <c r="C4" s="91"/>
      <c r="D4" s="91"/>
      <c r="E4" s="91"/>
      <c r="F4" s="91"/>
      <c r="G4" s="1"/>
    </row>
    <row r="5" spans="1:7" x14ac:dyDescent="0.25">
      <c r="A5" s="1"/>
      <c r="B5" s="1"/>
      <c r="C5" s="1"/>
      <c r="D5" s="1"/>
      <c r="E5" s="1"/>
      <c r="F5" s="1"/>
      <c r="G5" s="1"/>
    </row>
    <row r="6" spans="1:7" x14ac:dyDescent="0.25">
      <c r="A6" s="1"/>
      <c r="B6" s="1"/>
      <c r="C6" s="1"/>
      <c r="D6" s="1"/>
      <c r="E6" s="1"/>
      <c r="F6" s="1"/>
      <c r="G6" s="1"/>
    </row>
    <row r="7" spans="1:7" x14ac:dyDescent="0.25">
      <c r="A7" s="1"/>
      <c r="B7" s="112" t="s">
        <v>42</v>
      </c>
      <c r="C7" s="113"/>
      <c r="D7" s="113"/>
      <c r="E7" s="113"/>
      <c r="F7" s="114"/>
      <c r="G7" s="1"/>
    </row>
    <row r="8" spans="1:7" x14ac:dyDescent="0.25">
      <c r="A8" s="1"/>
      <c r="B8" s="63" t="s">
        <v>15</v>
      </c>
      <c r="C8" s="63" t="s">
        <v>10</v>
      </c>
      <c r="D8" s="64"/>
      <c r="E8" s="63" t="s">
        <v>24</v>
      </c>
      <c r="F8" s="73"/>
      <c r="G8" s="1"/>
    </row>
    <row r="9" spans="1:7" x14ac:dyDescent="0.25">
      <c r="A9" s="1"/>
      <c r="B9" s="20" t="s">
        <v>140</v>
      </c>
      <c r="C9" s="19">
        <v>0</v>
      </c>
      <c r="D9" s="12" t="s">
        <v>3</v>
      </c>
      <c r="E9" s="19">
        <v>0</v>
      </c>
      <c r="F9" s="12" t="s">
        <v>3</v>
      </c>
      <c r="G9" s="1"/>
    </row>
    <row r="10" spans="1:7" x14ac:dyDescent="0.25">
      <c r="A10" s="1"/>
      <c r="B10" s="74" t="s">
        <v>108</v>
      </c>
      <c r="C10" s="10">
        <f>SUM(C9:C9)</f>
        <v>0</v>
      </c>
      <c r="D10" s="11" t="s">
        <v>3</v>
      </c>
      <c r="E10" s="10">
        <f>SUM(E9:E9)</f>
        <v>0</v>
      </c>
      <c r="F10" s="11" t="s">
        <v>3</v>
      </c>
      <c r="G10" s="1"/>
    </row>
    <row r="11" spans="1:7" x14ac:dyDescent="0.25">
      <c r="A11" s="1"/>
      <c r="B11" s="74" t="s">
        <v>60</v>
      </c>
      <c r="C11" s="10">
        <f>C10*(1+'Fane 11. Nøgletal'!C15)^2</f>
        <v>0</v>
      </c>
      <c r="D11" s="11" t="s">
        <v>3</v>
      </c>
      <c r="E11" s="10">
        <f>E10*(1+'Fane 11. Nøgletal'!C15)^2</f>
        <v>0</v>
      </c>
      <c r="F11" s="11" t="s">
        <v>3</v>
      </c>
      <c r="G11" s="1"/>
    </row>
    <row r="12" spans="1:7" x14ac:dyDescent="0.25">
      <c r="A12" s="1"/>
      <c r="B12" s="1"/>
      <c r="C12" s="1"/>
      <c r="D12" s="1"/>
      <c r="E12" s="1"/>
      <c r="F12" s="1"/>
      <c r="G12" s="1"/>
    </row>
    <row r="13" spans="1:7" x14ac:dyDescent="0.25">
      <c r="A13" s="1"/>
      <c r="B13" s="130"/>
      <c r="C13" s="130"/>
      <c r="D13" s="130"/>
      <c r="E13" s="130"/>
      <c r="F13" s="130"/>
      <c r="G13" s="1"/>
    </row>
    <row r="14" spans="1:7" x14ac:dyDescent="0.25">
      <c r="A14" s="1"/>
      <c r="B14" s="40"/>
      <c r="C14" s="40"/>
      <c r="D14" s="40"/>
      <c r="E14" s="40"/>
      <c r="F14" s="41"/>
      <c r="G14" s="1"/>
    </row>
    <row r="15" spans="1:7" x14ac:dyDescent="0.25">
      <c r="A15" s="1"/>
      <c r="B15" s="42"/>
      <c r="C15" s="43"/>
      <c r="D15" s="44"/>
      <c r="E15" s="43"/>
      <c r="F15" s="44"/>
      <c r="G15" s="1"/>
    </row>
    <row r="16" spans="1:7" x14ac:dyDescent="0.25">
      <c r="A16" s="1"/>
      <c r="B16" s="42"/>
      <c r="C16" s="43"/>
      <c r="D16" s="44"/>
      <c r="E16" s="43"/>
      <c r="F16" s="44"/>
      <c r="G16" s="1"/>
    </row>
    <row r="17" spans="1:7" x14ac:dyDescent="0.25">
      <c r="A17" s="1"/>
      <c r="B17" s="45"/>
      <c r="C17" s="46"/>
      <c r="D17" s="47"/>
      <c r="E17" s="46"/>
      <c r="F17" s="47"/>
      <c r="G17" s="1"/>
    </row>
    <row r="18" spans="1:7" x14ac:dyDescent="0.25">
      <c r="A18" s="1"/>
      <c r="B18" s="45"/>
      <c r="C18" s="46"/>
      <c r="D18" s="47"/>
      <c r="E18" s="46"/>
      <c r="F18" s="47"/>
      <c r="G18" s="1"/>
    </row>
    <row r="19" spans="1:7" x14ac:dyDescent="0.25">
      <c r="A19" s="1"/>
      <c r="B19" s="39"/>
      <c r="C19" s="39"/>
      <c r="D19" s="39"/>
      <c r="E19" s="39"/>
      <c r="F19" s="39"/>
      <c r="G19" s="1"/>
    </row>
    <row r="20" spans="1:7" x14ac:dyDescent="0.25">
      <c r="A20" s="1"/>
      <c r="B20" s="130"/>
      <c r="C20" s="130"/>
      <c r="D20" s="130"/>
      <c r="E20" s="130"/>
      <c r="F20" s="130"/>
      <c r="G20" s="1"/>
    </row>
    <row r="21" spans="1:7" x14ac:dyDescent="0.25">
      <c r="A21" s="1"/>
      <c r="B21" s="40"/>
      <c r="C21" s="40"/>
      <c r="D21" s="40"/>
      <c r="E21" s="40"/>
      <c r="F21" s="41"/>
      <c r="G21" s="1"/>
    </row>
    <row r="22" spans="1:7" x14ac:dyDescent="0.25">
      <c r="A22" s="1"/>
      <c r="B22" s="42"/>
      <c r="C22" s="43"/>
      <c r="D22" s="44"/>
      <c r="E22" s="43"/>
      <c r="F22" s="44"/>
      <c r="G22" s="1"/>
    </row>
    <row r="23" spans="1:7" x14ac:dyDescent="0.25">
      <c r="A23" s="1"/>
      <c r="B23" s="42"/>
      <c r="C23" s="43"/>
      <c r="D23" s="44"/>
      <c r="E23" s="43"/>
      <c r="F23" s="44"/>
      <c r="G23" s="1"/>
    </row>
    <row r="24" spans="1:7" x14ac:dyDescent="0.25">
      <c r="A24" s="1"/>
      <c r="B24" s="45"/>
      <c r="C24" s="46"/>
      <c r="D24" s="47"/>
      <c r="E24" s="46"/>
      <c r="F24" s="47"/>
      <c r="G24" s="1"/>
    </row>
    <row r="25" spans="1:7" x14ac:dyDescent="0.25">
      <c r="A25" s="1"/>
      <c r="B25" s="45"/>
      <c r="C25" s="46"/>
      <c r="D25" s="47"/>
      <c r="E25" s="46"/>
      <c r="F25" s="47"/>
      <c r="G25" s="1"/>
    </row>
    <row r="26" spans="1:7" x14ac:dyDescent="0.25">
      <c r="A26" s="1"/>
      <c r="B26" s="39"/>
      <c r="C26" s="39"/>
      <c r="D26" s="39"/>
      <c r="E26" s="39"/>
      <c r="F26" s="39"/>
      <c r="G26" s="1"/>
    </row>
    <row r="27" spans="1:7" x14ac:dyDescent="0.25">
      <c r="A27" s="1"/>
      <c r="B27" s="130"/>
      <c r="C27" s="130"/>
      <c r="D27" s="130"/>
      <c r="E27" s="130"/>
      <c r="F27" s="130"/>
      <c r="G27" s="1"/>
    </row>
    <row r="28" spans="1:7" x14ac:dyDescent="0.25">
      <c r="A28" s="1"/>
      <c r="B28" s="40"/>
      <c r="C28" s="40"/>
      <c r="D28" s="40"/>
      <c r="E28" s="40"/>
      <c r="F28" s="41"/>
      <c r="G28" s="1"/>
    </row>
    <row r="29" spans="1:7" x14ac:dyDescent="0.25">
      <c r="A29" s="1"/>
      <c r="B29" s="42"/>
      <c r="C29" s="43"/>
      <c r="D29" s="44"/>
      <c r="E29" s="43"/>
      <c r="F29" s="44"/>
      <c r="G29" s="1"/>
    </row>
    <row r="30" spans="1:7" x14ac:dyDescent="0.25">
      <c r="A30" s="1"/>
      <c r="B30" s="42"/>
      <c r="C30" s="43"/>
      <c r="D30" s="44"/>
      <c r="E30" s="43"/>
      <c r="F30" s="44"/>
      <c r="G30" s="1"/>
    </row>
    <row r="31" spans="1:7" x14ac:dyDescent="0.25">
      <c r="A31" s="1"/>
      <c r="B31" s="45"/>
      <c r="C31" s="46"/>
      <c r="D31" s="47"/>
      <c r="E31" s="46"/>
      <c r="F31" s="47"/>
      <c r="G31" s="1"/>
    </row>
    <row r="32" spans="1:7" x14ac:dyDescent="0.25">
      <c r="A32" s="1"/>
      <c r="B32" s="45"/>
      <c r="C32" s="46"/>
      <c r="D32" s="47"/>
      <c r="E32" s="46"/>
      <c r="F32" s="47"/>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sheetData>
  <sheetProtection algorithmName="SHA-512" hashValue="mdgUYZERmc8Lyl7qybuFY8N/5VkebSHZp0z94hVacKWNCcspZ6J2+QKB3XzHX0tJq0PtRHlBI7Pj4swZSIWleQ==" saltValue="eO2nwj7fULk7pUf0irMDmA=="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27:F27"/>
    <mergeCell ref="B3:F4"/>
    <mergeCell ref="B7:F7"/>
    <mergeCell ref="B13:F13"/>
    <mergeCell ref="B20:F20"/>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45"/>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42578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118</v>
      </c>
      <c r="C3" s="107"/>
      <c r="D3" s="107"/>
      <c r="E3" s="107"/>
      <c r="F3" s="107"/>
      <c r="G3" s="1"/>
    </row>
    <row r="4" spans="1:7" ht="25.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2" t="s">
        <v>58</v>
      </c>
      <c r="C8" s="113"/>
      <c r="D8" s="113"/>
      <c r="E8" s="113"/>
      <c r="F8" s="114"/>
      <c r="G8" s="1"/>
    </row>
    <row r="9" spans="1:7" ht="15" customHeight="1" x14ac:dyDescent="0.25">
      <c r="A9" s="1"/>
      <c r="B9" s="72" t="s">
        <v>61</v>
      </c>
      <c r="C9" s="131" t="s">
        <v>10</v>
      </c>
      <c r="D9" s="132"/>
      <c r="E9" s="131" t="s">
        <v>24</v>
      </c>
      <c r="F9" s="132"/>
      <c r="G9" s="1"/>
    </row>
    <row r="10" spans="1:7" x14ac:dyDescent="0.25">
      <c r="A10" s="1"/>
      <c r="B10" s="20" t="s">
        <v>141</v>
      </c>
      <c r="C10" s="8">
        <v>0</v>
      </c>
      <c r="D10" s="12" t="s">
        <v>3</v>
      </c>
      <c r="E10" s="8">
        <v>0</v>
      </c>
      <c r="F10" s="12" t="s">
        <v>3</v>
      </c>
      <c r="G10" s="1"/>
    </row>
    <row r="11" spans="1:7" ht="28.5" customHeight="1" x14ac:dyDescent="0.25">
      <c r="A11" s="1"/>
      <c r="B11" s="18" t="s">
        <v>68</v>
      </c>
      <c r="C11" s="10">
        <f>SUM(C10:C10)</f>
        <v>0</v>
      </c>
      <c r="D11" s="11" t="s">
        <v>3</v>
      </c>
      <c r="E11" s="10">
        <f>SUM(E10:E10)</f>
        <v>0</v>
      </c>
      <c r="F11" s="11" t="s">
        <v>3</v>
      </c>
      <c r="G11" s="1"/>
    </row>
    <row r="12" spans="1:7" ht="27" customHeight="1" x14ac:dyDescent="0.25">
      <c r="A12" s="1"/>
      <c r="B12" s="18" t="s">
        <v>100</v>
      </c>
      <c r="C12" s="10">
        <f>C11*(1+'Fane 11. Nøgletal'!C15)</f>
        <v>0</v>
      </c>
      <c r="D12" s="11" t="s">
        <v>3</v>
      </c>
      <c r="E12" s="10">
        <f>E11*(1+'Fane 11. Nøgletal'!C15)</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fDJ0ULwjcugdI477SqJl019KzIipwwfupPnx04zPe/Da+DmwQGDPQC/lLkYtzutVMp/2g2vuPGD4hsga5Cq1NA==" saltValue="ARyEp9Gbsn+yX0OzRNsdvQ=="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6.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119</v>
      </c>
      <c r="C3" s="107"/>
      <c r="D3" s="107"/>
      <c r="E3" s="107"/>
      <c r="F3" s="107"/>
      <c r="G3" s="1"/>
    </row>
    <row r="4" spans="1:7" ht="25.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2" t="s">
        <v>40</v>
      </c>
      <c r="C9" s="113"/>
      <c r="D9" s="113"/>
      <c r="E9" s="113"/>
      <c r="F9" s="114"/>
      <c r="G9" s="1"/>
    </row>
    <row r="10" spans="1:7" ht="26.25" x14ac:dyDescent="0.25">
      <c r="A10" s="1"/>
      <c r="B10" s="72" t="s">
        <v>16</v>
      </c>
      <c r="C10" s="72" t="s">
        <v>10</v>
      </c>
      <c r="D10" s="73"/>
      <c r="E10" s="72" t="s">
        <v>24</v>
      </c>
      <c r="F10" s="73"/>
      <c r="G10" s="1"/>
    </row>
    <row r="11" spans="1:7" x14ac:dyDescent="0.25">
      <c r="A11" s="1"/>
      <c r="B11" s="20" t="s">
        <v>142</v>
      </c>
      <c r="C11" s="8">
        <v>0</v>
      </c>
      <c r="D11" s="12" t="s">
        <v>3</v>
      </c>
      <c r="E11" s="8">
        <v>0</v>
      </c>
      <c r="F11" s="12" t="s">
        <v>3</v>
      </c>
      <c r="G11" s="1"/>
    </row>
    <row r="12" spans="1:7" x14ac:dyDescent="0.25">
      <c r="A12" s="1"/>
      <c r="B12" s="74" t="s">
        <v>105</v>
      </c>
      <c r="C12" s="10">
        <f>SUM(C11:C11)</f>
        <v>0</v>
      </c>
      <c r="D12" s="11" t="s">
        <v>3</v>
      </c>
      <c r="E12" s="10">
        <f>SUM(E11:E11)</f>
        <v>0</v>
      </c>
      <c r="F12" s="11" t="s">
        <v>3</v>
      </c>
      <c r="G12" s="1"/>
    </row>
    <row r="13" spans="1:7" x14ac:dyDescent="0.25">
      <c r="A13" s="1"/>
      <c r="B13" s="74" t="s">
        <v>38</v>
      </c>
      <c r="C13" s="10">
        <f>C12*(1+'Fane 11. Nøgletal'!C15)</f>
        <v>0</v>
      </c>
      <c r="D13" s="11" t="s">
        <v>3</v>
      </c>
      <c r="E13" s="10">
        <f>E12*(1+'Fane 11. Nøgletal'!C15)</f>
        <v>0</v>
      </c>
      <c r="F13" s="11" t="s">
        <v>3</v>
      </c>
      <c r="G13" s="1"/>
    </row>
    <row r="14" spans="1:7" x14ac:dyDescent="0.25">
      <c r="A14" s="1"/>
      <c r="B14" s="1"/>
      <c r="C14" s="1"/>
      <c r="D14" s="1"/>
      <c r="E14" s="1"/>
      <c r="F14" s="1"/>
      <c r="G14" s="1"/>
    </row>
    <row r="15" spans="1:7" x14ac:dyDescent="0.25">
      <c r="A15" s="1"/>
      <c r="B15" s="130"/>
      <c r="C15" s="130"/>
      <c r="D15" s="130"/>
      <c r="E15" s="130"/>
      <c r="F15" s="130"/>
      <c r="G15" s="1"/>
    </row>
    <row r="16" spans="1:7" x14ac:dyDescent="0.25">
      <c r="A16" s="1"/>
      <c r="B16" s="41"/>
      <c r="C16" s="41"/>
      <c r="D16" s="41"/>
      <c r="E16" s="41"/>
      <c r="F16" s="41"/>
      <c r="G16" s="1"/>
    </row>
    <row r="17" spans="1:7" x14ac:dyDescent="0.25">
      <c r="A17" s="1"/>
      <c r="B17" s="42"/>
      <c r="C17" s="48"/>
      <c r="D17" s="44"/>
      <c r="E17" s="48"/>
      <c r="F17" s="44"/>
      <c r="G17" s="1"/>
    </row>
    <row r="18" spans="1:7" x14ac:dyDescent="0.25">
      <c r="A18" s="1"/>
      <c r="B18" s="45"/>
      <c r="C18" s="46"/>
      <c r="D18" s="47"/>
      <c r="E18" s="46"/>
      <c r="F18" s="47"/>
      <c r="G18" s="1"/>
    </row>
    <row r="19" spans="1:7" x14ac:dyDescent="0.25">
      <c r="A19" s="1"/>
      <c r="B19" s="45"/>
      <c r="C19" s="46"/>
      <c r="D19" s="47"/>
      <c r="E19" s="46"/>
      <c r="F19" s="47"/>
      <c r="G19" s="1"/>
    </row>
    <row r="20" spans="1:7" x14ac:dyDescent="0.25">
      <c r="A20" s="1"/>
      <c r="B20" s="39"/>
      <c r="C20" s="39"/>
      <c r="D20" s="39"/>
      <c r="E20" s="39"/>
      <c r="F20" s="39"/>
      <c r="G20" s="1"/>
    </row>
    <row r="21" spans="1:7" x14ac:dyDescent="0.25">
      <c r="A21" s="1"/>
      <c r="B21" s="130"/>
      <c r="C21" s="130"/>
      <c r="D21" s="130"/>
      <c r="E21" s="130"/>
      <c r="F21" s="130"/>
      <c r="G21" s="1"/>
    </row>
    <row r="22" spans="1:7" x14ac:dyDescent="0.25">
      <c r="A22" s="1"/>
      <c r="B22" s="41"/>
      <c r="C22" s="41"/>
      <c r="D22" s="41"/>
      <c r="E22" s="41"/>
      <c r="F22" s="41"/>
      <c r="G22" s="1"/>
    </row>
    <row r="23" spans="1:7" x14ac:dyDescent="0.25">
      <c r="A23" s="1"/>
      <c r="B23" s="42"/>
      <c r="C23" s="48"/>
      <c r="D23" s="44"/>
      <c r="E23" s="48"/>
      <c r="F23" s="44"/>
      <c r="G23" s="1"/>
    </row>
    <row r="24" spans="1:7" x14ac:dyDescent="0.25">
      <c r="A24" s="1"/>
      <c r="B24" s="45"/>
      <c r="C24" s="46"/>
      <c r="D24" s="47"/>
      <c r="E24" s="46"/>
      <c r="F24" s="47"/>
      <c r="G24" s="1"/>
    </row>
    <row r="25" spans="1:7" x14ac:dyDescent="0.25">
      <c r="A25" s="1"/>
      <c r="B25" s="45"/>
      <c r="C25" s="46"/>
      <c r="D25" s="47"/>
      <c r="E25" s="46"/>
      <c r="F25" s="47"/>
      <c r="G25" s="1"/>
    </row>
    <row r="26" spans="1:7" x14ac:dyDescent="0.25">
      <c r="A26" s="1"/>
      <c r="B26" s="39"/>
      <c r="C26" s="39"/>
      <c r="D26" s="39"/>
      <c r="E26" s="39"/>
      <c r="F26" s="39"/>
      <c r="G26" s="1"/>
    </row>
    <row r="27" spans="1:7" x14ac:dyDescent="0.25">
      <c r="A27" s="1"/>
      <c r="B27" s="130"/>
      <c r="C27" s="130"/>
      <c r="D27" s="130"/>
      <c r="E27" s="130"/>
      <c r="F27" s="130"/>
      <c r="G27" s="1"/>
    </row>
    <row r="28" spans="1:7" x14ac:dyDescent="0.25">
      <c r="A28" s="1"/>
      <c r="B28" s="41"/>
      <c r="C28" s="41"/>
      <c r="D28" s="41"/>
      <c r="E28" s="41"/>
      <c r="F28" s="41"/>
      <c r="G28" s="1"/>
    </row>
    <row r="29" spans="1:7" x14ac:dyDescent="0.25">
      <c r="A29" s="1"/>
      <c r="B29" s="42"/>
      <c r="C29" s="48"/>
      <c r="D29" s="44"/>
      <c r="E29" s="48"/>
      <c r="F29" s="44"/>
      <c r="G29" s="1"/>
    </row>
    <row r="30" spans="1:7" x14ac:dyDescent="0.25">
      <c r="A30" s="1"/>
      <c r="B30" s="45"/>
      <c r="C30" s="46"/>
      <c r="D30" s="47"/>
      <c r="E30" s="46"/>
      <c r="F30" s="47"/>
      <c r="G30" s="1"/>
    </row>
    <row r="31" spans="1:7" x14ac:dyDescent="0.25">
      <c r="A31" s="1"/>
      <c r="B31" s="45"/>
      <c r="C31" s="46"/>
      <c r="D31" s="47"/>
      <c r="E31" s="46"/>
      <c r="F31" s="47"/>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0Wsw6xO8ulzG4lA5NLDuQozdO/At4mxJpZRhONzf7KW+fVRClF+eHthRjgtvxNNhHG+Qp2oFSCmvkgz6iutIBw==" saltValue="PLD8nB9f6JhYhWjx8WGPIQ=="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1"/>
  <sheetViews>
    <sheetView showGridLines="0" view="pageLayout" zoomScaleNormal="100"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07" t="s">
        <v>120</v>
      </c>
      <c r="C3" s="107"/>
      <c r="D3" s="1"/>
    </row>
    <row r="4" spans="1:4" ht="25.5" customHeight="1" x14ac:dyDescent="0.25">
      <c r="A4" s="1"/>
      <c r="B4" s="107"/>
      <c r="C4" s="107"/>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74" t="s">
        <v>13</v>
      </c>
      <c r="C8" s="75"/>
      <c r="D8" s="1"/>
    </row>
    <row r="9" spans="1:4" x14ac:dyDescent="0.25">
      <c r="A9" s="1"/>
      <c r="B9" s="23" t="s">
        <v>71</v>
      </c>
      <c r="C9" s="21">
        <v>1.2699999999999999E-2</v>
      </c>
      <c r="D9" s="1"/>
    </row>
    <row r="10" spans="1:4" x14ac:dyDescent="0.25">
      <c r="A10" s="1"/>
      <c r="B10" s="23" t="s">
        <v>69</v>
      </c>
      <c r="C10" s="21">
        <v>1.7500000000000002E-2</v>
      </c>
      <c r="D10" s="1"/>
    </row>
    <row r="11" spans="1:4" x14ac:dyDescent="0.25">
      <c r="A11" s="1"/>
      <c r="B11" s="23" t="s">
        <v>21</v>
      </c>
      <c r="C11" s="21">
        <v>1.6899999999999998E-2</v>
      </c>
      <c r="D11" s="1"/>
    </row>
    <row r="12" spans="1:4" x14ac:dyDescent="0.25">
      <c r="A12" s="1"/>
      <c r="B12" s="23" t="s">
        <v>31</v>
      </c>
      <c r="C12" s="21">
        <v>1.9699999999999999E-2</v>
      </c>
      <c r="D12" s="1"/>
    </row>
    <row r="13" spans="1:4" x14ac:dyDescent="0.25">
      <c r="A13" s="1"/>
      <c r="B13" s="25" t="s">
        <v>59</v>
      </c>
      <c r="C13" s="26">
        <v>1.2200000000000001E-2</v>
      </c>
      <c r="D13" s="1"/>
    </row>
    <row r="14" spans="1:4" x14ac:dyDescent="0.25">
      <c r="A14" s="1"/>
      <c r="B14" s="25" t="s">
        <v>70</v>
      </c>
      <c r="C14" s="26">
        <v>3.3E-3</v>
      </c>
      <c r="D14" s="1"/>
    </row>
    <row r="15" spans="1:4" x14ac:dyDescent="0.25">
      <c r="A15" s="1"/>
      <c r="B15" s="25" t="s">
        <v>101</v>
      </c>
      <c r="C15" s="26">
        <v>3.56E-2</v>
      </c>
      <c r="D15" s="1"/>
    </row>
    <row r="16" spans="1:4" x14ac:dyDescent="0.25">
      <c r="A16" s="1"/>
      <c r="B16" s="74"/>
      <c r="C16" s="75"/>
      <c r="D16" s="1"/>
    </row>
    <row r="17" spans="1:4" x14ac:dyDescent="0.25">
      <c r="A17" s="1"/>
      <c r="B17" s="1"/>
      <c r="C17" s="1"/>
      <c r="D17" s="1"/>
    </row>
    <row r="18" spans="1:4" x14ac:dyDescent="0.25">
      <c r="A18" s="1"/>
      <c r="B18" s="1"/>
      <c r="C18" s="1"/>
      <c r="D18" s="1"/>
    </row>
    <row r="19" spans="1:4" x14ac:dyDescent="0.25">
      <c r="A19" s="1"/>
      <c r="B19" s="74" t="s">
        <v>44</v>
      </c>
      <c r="C19" s="75"/>
      <c r="D19" s="1"/>
    </row>
    <row r="20" spans="1:4" x14ac:dyDescent="0.25">
      <c r="A20" s="1"/>
      <c r="B20" s="23" t="s">
        <v>48</v>
      </c>
      <c r="C20" s="21">
        <v>1.7000000000000001E-2</v>
      </c>
      <c r="D20" s="1"/>
    </row>
    <row r="21" spans="1:4" x14ac:dyDescent="0.25">
      <c r="A21" s="1"/>
      <c r="B21" s="133"/>
      <c r="C21" s="134"/>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1"/>
      <c r="B50" s="31"/>
      <c r="C50" s="31"/>
      <c r="D50" s="31"/>
    </row>
    <row r="51" spans="1:4" x14ac:dyDescent="0.25">
      <c r="A51" s="31"/>
      <c r="B51" s="31"/>
      <c r="C51" s="31"/>
      <c r="D51" s="31"/>
    </row>
  </sheetData>
  <sheetProtection algorithmName="SHA-512" hashValue="XO3fPq38IPE7La1sv3fjTfWb0278aHj+B9DXUT35berbsUfMzyNP1hAPE5IZe628A2//SseBQbWshga16q2E9A==" saltValue="62oH/GV19rPzkb+GGpMdwA=="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1:C21"/>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G49"/>
  <sheetViews>
    <sheetView showGridLines="0" view="pageLayout" zoomScaleNormal="100" workbookViewId="0"/>
  </sheetViews>
  <sheetFormatPr defaultColWidth="9" defaultRowHeight="15" x14ac:dyDescent="0.25"/>
  <cols>
    <col min="1" max="1" width="5.140625" style="2" customWidth="1"/>
    <col min="2" max="2" width="50.5703125" style="2" customWidth="1"/>
    <col min="3" max="3" width="9.140625" style="2" hidden="1" customWidth="1"/>
    <col min="4" max="4" width="27.140625" style="2" hidden="1" customWidth="1"/>
    <col min="5" max="5" width="13.5703125" style="2" customWidth="1"/>
    <col min="6" max="6" width="3.85546875" style="2" customWidth="1"/>
    <col min="7" max="7" width="12.57031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83</v>
      </c>
      <c r="C3" s="91"/>
      <c r="D3" s="91"/>
      <c r="E3" s="91"/>
      <c r="F3" s="91"/>
      <c r="G3" s="1"/>
    </row>
    <row r="4" spans="1:7" ht="15" customHeight="1" x14ac:dyDescent="0.25">
      <c r="A4" s="1"/>
      <c r="B4" s="91"/>
      <c r="C4" s="91"/>
      <c r="D4" s="91"/>
      <c r="E4" s="91"/>
      <c r="F4" s="9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8" t="s">
        <v>12</v>
      </c>
      <c r="C8" s="58"/>
      <c r="D8" s="58"/>
      <c r="E8" s="58"/>
      <c r="F8" s="58"/>
      <c r="G8" s="1"/>
    </row>
    <row r="9" spans="1:7" x14ac:dyDescent="0.25">
      <c r="A9" s="1"/>
      <c r="B9" s="55" t="s">
        <v>55</v>
      </c>
      <c r="C9" s="55"/>
      <c r="D9" s="55"/>
      <c r="E9" s="7">
        <f>'Fane 3. Omkostninger i ØR2022'!E16</f>
        <v>9111601.635481311</v>
      </c>
      <c r="F9" s="55" t="s">
        <v>3</v>
      </c>
      <c r="G9" s="1"/>
    </row>
    <row r="10" spans="1:7" ht="17.25" customHeight="1" x14ac:dyDescent="0.25">
      <c r="A10" s="1"/>
      <c r="B10" s="24" t="s">
        <v>50</v>
      </c>
      <c r="C10" s="55"/>
      <c r="D10" s="55"/>
      <c r="E10" s="7">
        <f>'Fane 8.1. Varige tillæg'!C15+'Fane 8.1. Varige tillæg'!E15</f>
        <v>270495.09539999999</v>
      </c>
      <c r="F10" s="55" t="s">
        <v>3</v>
      </c>
      <c r="G10" s="1"/>
    </row>
    <row r="11" spans="1:7" ht="17.25" customHeight="1" x14ac:dyDescent="0.25">
      <c r="A11" s="1"/>
      <c r="B11" s="24" t="s">
        <v>52</v>
      </c>
      <c r="C11" s="55"/>
      <c r="D11" s="55"/>
      <c r="E11" s="8">
        <f>-('Fane 10. Bortfald'!C13+'Fane 10. Bortfald'!E13)</f>
        <v>0</v>
      </c>
      <c r="F11" s="55" t="s">
        <v>3</v>
      </c>
      <c r="G11" s="1"/>
    </row>
    <row r="12" spans="1:7" ht="17.25" customHeight="1" x14ac:dyDescent="0.25">
      <c r="A12" s="1"/>
      <c r="B12" s="24" t="s">
        <v>54</v>
      </c>
      <c r="C12" s="55"/>
      <c r="D12" s="55"/>
      <c r="E12" s="8">
        <f>'Fane 9. Tilknyttet virksomhed'!C12+'Fane 9. Tilknyttet virksomhed'!E12</f>
        <v>0</v>
      </c>
      <c r="F12" s="55" t="s">
        <v>3</v>
      </c>
      <c r="G12" s="1"/>
    </row>
    <row r="13" spans="1:7" ht="17.25" customHeight="1" x14ac:dyDescent="0.25">
      <c r="A13" s="1"/>
      <c r="B13" s="24" t="s">
        <v>17</v>
      </c>
      <c r="C13" s="55"/>
      <c r="D13" s="55"/>
      <c r="E13" s="8">
        <f>SUM(E9:E12)*'Fane 11. Nøgletal'!C15</f>
        <v>334002.64361937466</v>
      </c>
      <c r="F13" s="55" t="s">
        <v>3</v>
      </c>
      <c r="G13" s="1"/>
    </row>
    <row r="14" spans="1:7" ht="17.25" customHeight="1" x14ac:dyDescent="0.25">
      <c r="A14" s="1"/>
      <c r="B14" s="24" t="s">
        <v>44</v>
      </c>
      <c r="C14" s="55"/>
      <c r="D14" s="55"/>
      <c r="E14" s="8">
        <f>-SUM(E9,E10:E13)*'Fane 11. Nøgletal'!C20</f>
        <v>-165173.68936651168</v>
      </c>
      <c r="F14" s="55" t="s">
        <v>3</v>
      </c>
      <c r="G14" s="1"/>
    </row>
    <row r="15" spans="1:7" ht="15" customHeight="1" x14ac:dyDescent="0.25">
      <c r="A15" s="1"/>
      <c r="B15" s="68" t="s">
        <v>19</v>
      </c>
      <c r="C15" s="29"/>
      <c r="D15" s="29"/>
      <c r="E15" s="9">
        <f>SUM(E9,E10:E14)</f>
        <v>9550925.6851341743</v>
      </c>
      <c r="F15" s="59" t="s">
        <v>3</v>
      </c>
      <c r="G15" s="1"/>
    </row>
    <row r="16" spans="1:7" ht="15" customHeight="1" x14ac:dyDescent="0.25">
      <c r="A16" s="1"/>
      <c r="B16" s="58" t="s">
        <v>11</v>
      </c>
      <c r="C16" s="58"/>
      <c r="D16" s="58"/>
      <c r="E16" s="58"/>
      <c r="F16" s="58"/>
      <c r="G16" s="1"/>
    </row>
    <row r="17" spans="1:7" ht="15" customHeight="1" x14ac:dyDescent="0.25">
      <c r="A17" s="1"/>
      <c r="B17" s="59" t="s">
        <v>11</v>
      </c>
      <c r="C17" s="59"/>
      <c r="D17" s="59"/>
      <c r="E17" s="9">
        <f>'Fane 4. Ikke-påvirkelige omk.'!C14</f>
        <v>4683088.5250766408</v>
      </c>
      <c r="F17" s="59" t="s">
        <v>3</v>
      </c>
      <c r="G17" s="1"/>
    </row>
    <row r="18" spans="1:7" ht="15" customHeight="1" x14ac:dyDescent="0.25">
      <c r="A18" s="1"/>
      <c r="B18" s="58" t="s">
        <v>36</v>
      </c>
      <c r="C18" s="58"/>
      <c r="D18" s="58"/>
      <c r="E18" s="58"/>
      <c r="F18" s="58"/>
      <c r="G18" s="1"/>
    </row>
    <row r="19" spans="1:7" ht="15" customHeight="1" x14ac:dyDescent="0.25">
      <c r="A19" s="1"/>
      <c r="B19" s="24" t="s">
        <v>33</v>
      </c>
      <c r="C19" s="55"/>
      <c r="D19" s="55"/>
      <c r="E19" s="8">
        <f>'Fane 8.2. Engangstillæg'!C11</f>
        <v>0</v>
      </c>
      <c r="F19" s="55" t="s">
        <v>3</v>
      </c>
      <c r="G19" s="1"/>
    </row>
    <row r="20" spans="1:7" x14ac:dyDescent="0.25">
      <c r="A20" s="1"/>
      <c r="B20" s="24" t="s">
        <v>34</v>
      </c>
      <c r="C20" s="55"/>
      <c r="D20" s="55"/>
      <c r="E20" s="8">
        <f>'Fane 8.2. Engangstillæg'!E11</f>
        <v>0</v>
      </c>
      <c r="F20" s="55" t="s">
        <v>3</v>
      </c>
      <c r="G20" s="1"/>
    </row>
    <row r="21" spans="1:7" x14ac:dyDescent="0.25">
      <c r="A21" s="1"/>
      <c r="B21" s="24" t="s">
        <v>107</v>
      </c>
      <c r="C21" s="55"/>
      <c r="D21" s="55"/>
      <c r="E21" s="8">
        <f>-SUM(E19:E20)*'Fane 11. Nøgletal'!C20</f>
        <v>0</v>
      </c>
      <c r="F21" s="55" t="s">
        <v>3</v>
      </c>
      <c r="G21" s="1"/>
    </row>
    <row r="22" spans="1:7" ht="15" customHeight="1" x14ac:dyDescent="0.25">
      <c r="A22" s="1"/>
      <c r="B22" s="68" t="s">
        <v>37</v>
      </c>
      <c r="C22" s="29"/>
      <c r="D22" s="29"/>
      <c r="E22" s="9">
        <f>SUM(E19:E21)</f>
        <v>0</v>
      </c>
      <c r="F22" s="59" t="s">
        <v>3</v>
      </c>
      <c r="G22" s="1"/>
    </row>
    <row r="23" spans="1:7" x14ac:dyDescent="0.25">
      <c r="A23" s="1"/>
      <c r="B23" s="58" t="s">
        <v>62</v>
      </c>
      <c r="C23" s="58"/>
      <c r="D23" s="58"/>
      <c r="E23" s="58"/>
      <c r="F23" s="58"/>
      <c r="G23" s="1"/>
    </row>
    <row r="24" spans="1:7" x14ac:dyDescent="0.25">
      <c r="A24" s="1"/>
      <c r="B24" s="68" t="s">
        <v>63</v>
      </c>
      <c r="C24" s="32"/>
      <c r="D24" s="32"/>
      <c r="E24" s="9">
        <f>'Fane 5. Kontrol af ØR2021'!E30</f>
        <v>-871627.67562354449</v>
      </c>
      <c r="F24" s="59" t="s">
        <v>3</v>
      </c>
      <c r="G24" s="1"/>
    </row>
    <row r="25" spans="1:7" x14ac:dyDescent="0.25">
      <c r="A25" s="1"/>
      <c r="B25" s="58" t="s">
        <v>76</v>
      </c>
      <c r="C25" s="58"/>
      <c r="D25" s="58"/>
      <c r="E25" s="58"/>
      <c r="F25" s="58"/>
      <c r="G25" s="1"/>
    </row>
    <row r="26" spans="1:7" x14ac:dyDescent="0.25">
      <c r="A26" s="1"/>
      <c r="B26" s="59" t="s">
        <v>77</v>
      </c>
      <c r="C26" s="59"/>
      <c r="D26" s="59"/>
      <c r="E26" s="9">
        <f>'Fane 6. Skattesagen'!G12</f>
        <v>0</v>
      </c>
      <c r="F26" s="59" t="s">
        <v>3</v>
      </c>
      <c r="G26" s="1"/>
    </row>
    <row r="27" spans="1:7" x14ac:dyDescent="0.25">
      <c r="A27" s="1"/>
      <c r="B27" s="58" t="s">
        <v>39</v>
      </c>
      <c r="C27" s="58"/>
      <c r="D27" s="58"/>
      <c r="E27" s="10">
        <f>SUM(E15:E17:E22:E24:E26)</f>
        <v>13362386.534587272</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1"/>
      <c r="B48" s="31"/>
      <c r="C48" s="31"/>
      <c r="D48" s="31"/>
      <c r="E48" s="31"/>
      <c r="F48" s="31"/>
      <c r="G48" s="31"/>
    </row>
    <row r="49" spans="1:6" x14ac:dyDescent="0.25">
      <c r="A49" s="31"/>
      <c r="B49" s="31"/>
      <c r="C49" s="31"/>
      <c r="D49" s="31"/>
      <c r="E49" s="31"/>
      <c r="F49" s="31"/>
    </row>
  </sheetData>
  <sheetProtection algorithmName="SHA-512" hashValue="6Acq4DahJ4XfhUcsJgynjly1IA/+PSVkgyEw1pyo8Nmv04HR0pL+IvZX6dSqD8+xbmZLq5x+2O8qaHlHwR4Aug==" saltValue="dh4Z8LJIR4NlHfi5KDFBzw=="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0866141732283461" right="0.70866141732283461" top="0.74803149606299213" bottom="0.74803149606299213" header="0.31496062992125984" footer="0.31496062992125984"/>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G44"/>
  <sheetViews>
    <sheetView showGridLines="0" view="pageLayout" zoomScaleNormal="100" workbookViewId="0"/>
  </sheetViews>
  <sheetFormatPr defaultColWidth="9.140625" defaultRowHeight="15" x14ac:dyDescent="0.25"/>
  <cols>
    <col min="1" max="1" width="5.140625" style="2" customWidth="1"/>
    <col min="2" max="2" width="59.85546875" style="2" customWidth="1"/>
    <col min="3" max="3" width="0" style="2" hidden="1" customWidth="1"/>
    <col min="4" max="4" width="27" style="2" hidden="1" customWidth="1"/>
    <col min="5" max="5" width="10.28515625" style="2" customWidth="1"/>
    <col min="6" max="6" width="3.28515625" style="2" customWidth="1"/>
    <col min="7" max="7" width="8.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84</v>
      </c>
      <c r="C3" s="91"/>
      <c r="D3" s="91"/>
      <c r="E3" s="91"/>
      <c r="F3" s="91"/>
      <c r="G3" s="1"/>
    </row>
    <row r="4" spans="1:7" ht="15" customHeight="1" x14ac:dyDescent="0.25">
      <c r="A4" s="1"/>
      <c r="B4" s="91"/>
      <c r="C4" s="91"/>
      <c r="D4" s="91"/>
      <c r="E4" s="91"/>
      <c r="F4" s="91"/>
      <c r="G4" s="1"/>
    </row>
    <row r="5" spans="1:7" x14ac:dyDescent="0.25">
      <c r="A5" s="1"/>
      <c r="B5" s="92"/>
      <c r="C5" s="92"/>
      <c r="D5" s="92"/>
      <c r="E5" s="92"/>
      <c r="F5" s="92"/>
      <c r="G5" s="1"/>
    </row>
    <row r="6" spans="1:7" x14ac:dyDescent="0.25">
      <c r="A6" s="1"/>
      <c r="B6" s="1"/>
      <c r="C6" s="1"/>
      <c r="D6" s="1"/>
      <c r="E6" s="1"/>
      <c r="F6" s="1"/>
      <c r="G6" s="1"/>
    </row>
    <row r="7" spans="1:7" x14ac:dyDescent="0.25">
      <c r="A7" s="1"/>
      <c r="B7" s="58" t="s">
        <v>12</v>
      </c>
      <c r="C7" s="58"/>
      <c r="D7" s="58"/>
      <c r="E7" s="58"/>
      <c r="F7" s="58"/>
      <c r="G7" s="1"/>
    </row>
    <row r="8" spans="1:7" ht="15" customHeight="1" x14ac:dyDescent="0.25">
      <c r="A8" s="1"/>
      <c r="B8" s="55" t="s">
        <v>56</v>
      </c>
      <c r="C8" s="55"/>
      <c r="D8" s="55"/>
      <c r="E8" s="7">
        <f>'Fane 2.1. Økonomisk ramme 2023'!E15</f>
        <v>9550925.6851341743</v>
      </c>
      <c r="F8" s="55" t="s">
        <v>3</v>
      </c>
      <c r="G8" s="1"/>
    </row>
    <row r="9" spans="1:7" ht="15" customHeight="1" x14ac:dyDescent="0.25">
      <c r="A9" s="1"/>
      <c r="B9" s="56" t="s">
        <v>17</v>
      </c>
      <c r="C9" s="55"/>
      <c r="D9" s="55"/>
      <c r="E9" s="8">
        <f>SUM(E8:E8)*'Fane 11. Nøgletal'!C15</f>
        <v>340012.95439077658</v>
      </c>
      <c r="F9" s="55" t="s">
        <v>3</v>
      </c>
      <c r="G9" s="1"/>
    </row>
    <row r="10" spans="1:7" ht="15" customHeight="1" x14ac:dyDescent="0.25">
      <c r="A10" s="1"/>
      <c r="B10" s="56" t="s">
        <v>44</v>
      </c>
      <c r="C10" s="55"/>
      <c r="D10" s="55"/>
      <c r="E10" s="8">
        <f>-SUM(E8:E9)*'Fane 11. Nøgletal'!C20</f>
        <v>-168145.95687192419</v>
      </c>
      <c r="F10" s="55" t="s">
        <v>3</v>
      </c>
      <c r="G10" s="1"/>
    </row>
    <row r="11" spans="1:7" ht="15" customHeight="1" x14ac:dyDescent="0.25">
      <c r="A11" s="1"/>
      <c r="B11" s="29" t="s">
        <v>19</v>
      </c>
      <c r="C11" s="29"/>
      <c r="D11" s="29"/>
      <c r="E11" s="9">
        <f>SUM(E8:E10)</f>
        <v>9722792.6826530267</v>
      </c>
      <c r="F11" s="59" t="s">
        <v>3</v>
      </c>
      <c r="G11" s="1"/>
    </row>
    <row r="12" spans="1:7" x14ac:dyDescent="0.25">
      <c r="A12" s="1"/>
      <c r="B12" s="58" t="s">
        <v>11</v>
      </c>
      <c r="C12" s="58"/>
      <c r="D12" s="58"/>
      <c r="E12" s="58"/>
      <c r="F12" s="58"/>
      <c r="G12" s="1"/>
    </row>
    <row r="13" spans="1:7" ht="15" customHeight="1" x14ac:dyDescent="0.25">
      <c r="A13" s="1"/>
      <c r="B13" s="59" t="s">
        <v>11</v>
      </c>
      <c r="C13" s="59"/>
      <c r="D13" s="59"/>
      <c r="E13" s="9">
        <f>'Fane 4. Ikke-påvirkelige omk.'!C14*(1+'Fane 11. Nøgletal'!C15)</f>
        <v>4849806.4765693694</v>
      </c>
      <c r="F13" s="59" t="s">
        <v>3</v>
      </c>
      <c r="G13" s="1"/>
    </row>
    <row r="14" spans="1:7" x14ac:dyDescent="0.25">
      <c r="A14" s="1"/>
      <c r="B14" s="58" t="s">
        <v>62</v>
      </c>
      <c r="C14" s="58"/>
      <c r="D14" s="58"/>
      <c r="E14" s="58"/>
      <c r="F14" s="58"/>
      <c r="G14" s="1"/>
    </row>
    <row r="15" spans="1:7" x14ac:dyDescent="0.25">
      <c r="A15" s="1"/>
      <c r="B15" s="59" t="s">
        <v>78</v>
      </c>
      <c r="C15" s="33"/>
      <c r="D15" s="33"/>
      <c r="E15" s="9">
        <f>'Fane 5. Kontrol af ØR2021'!E30</f>
        <v>-871627.67562354449</v>
      </c>
      <c r="F15" s="59" t="s">
        <v>3</v>
      </c>
      <c r="G15" s="1"/>
    </row>
    <row r="16" spans="1:7" x14ac:dyDescent="0.25">
      <c r="A16" s="1"/>
      <c r="B16" s="58" t="s">
        <v>76</v>
      </c>
      <c r="C16" s="58"/>
      <c r="D16" s="58"/>
      <c r="E16" s="58"/>
      <c r="F16" s="58"/>
      <c r="G16" s="1"/>
    </row>
    <row r="17" spans="1:7" x14ac:dyDescent="0.25">
      <c r="A17" s="1"/>
      <c r="B17" s="59" t="s">
        <v>77</v>
      </c>
      <c r="C17" s="59"/>
      <c r="D17" s="59"/>
      <c r="E17" s="9">
        <f>'Fane 6. Skattesagen'!G13</f>
        <v>0</v>
      </c>
      <c r="F17" s="59" t="s">
        <v>3</v>
      </c>
      <c r="G17" s="1"/>
    </row>
    <row r="18" spans="1:7" x14ac:dyDescent="0.25">
      <c r="A18" s="1"/>
      <c r="B18" s="58" t="s">
        <v>57</v>
      </c>
      <c r="C18" s="58"/>
      <c r="D18" s="58"/>
      <c r="E18" s="10">
        <f>SUM(E11,E13,E15,E17)</f>
        <v>13700971.483598851</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sheetData>
  <sheetProtection algorithmName="SHA-512" hashValue="NOYN5lByXKzMcmEMmwvvy2bbdlwjndkBIYtBGchjvo+RJhp4MHH41uqDYfWrU5oMXyx5Uk/q7NMRkprkuwWTfQ==" saltValue="P1KxZbOkGAYp/jhxVyYWn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G48"/>
  <sheetViews>
    <sheetView showGridLines="0" view="pageLayout" zoomScaleNormal="100" workbookViewId="0"/>
  </sheetViews>
  <sheetFormatPr defaultColWidth="9.140625" defaultRowHeight="15" x14ac:dyDescent="0.25"/>
  <cols>
    <col min="1" max="1" width="5.140625" style="2" customWidth="1"/>
    <col min="2" max="2" width="56.42578125" style="2" customWidth="1"/>
    <col min="3" max="3" width="0" style="2" hidden="1" customWidth="1"/>
    <col min="4" max="4" width="27" style="2" hidden="1" customWidth="1"/>
    <col min="5" max="5" width="10.28515625" style="2" customWidth="1"/>
    <col min="6" max="6" width="3.28515625" style="2" customWidth="1"/>
    <col min="7" max="7" width="10"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85</v>
      </c>
      <c r="C3" s="91"/>
      <c r="D3" s="91"/>
      <c r="E3" s="91"/>
      <c r="F3" s="91"/>
      <c r="G3" s="1"/>
    </row>
    <row r="4" spans="1:7" ht="15" customHeight="1" x14ac:dyDescent="0.25">
      <c r="A4" s="1"/>
      <c r="B4" s="91"/>
      <c r="C4" s="91"/>
      <c r="D4" s="91"/>
      <c r="E4" s="91"/>
      <c r="F4" s="91"/>
      <c r="G4" s="1"/>
    </row>
    <row r="5" spans="1:7" x14ac:dyDescent="0.25">
      <c r="A5" s="1"/>
      <c r="B5" s="92" t="s">
        <v>20</v>
      </c>
      <c r="C5" s="92"/>
      <c r="D5" s="92"/>
      <c r="E5" s="92"/>
      <c r="F5" s="92"/>
      <c r="G5" s="1"/>
    </row>
    <row r="6" spans="1:7" x14ac:dyDescent="0.25">
      <c r="A6" s="1"/>
      <c r="B6" s="1"/>
      <c r="C6" s="1"/>
      <c r="D6" s="1"/>
      <c r="E6" s="1"/>
      <c r="F6" s="1"/>
      <c r="G6" s="1"/>
    </row>
    <row r="7" spans="1:7" x14ac:dyDescent="0.25">
      <c r="A7" s="1"/>
      <c r="B7" s="58" t="s">
        <v>12</v>
      </c>
      <c r="C7" s="58"/>
      <c r="D7" s="58"/>
      <c r="E7" s="58"/>
      <c r="F7" s="58"/>
      <c r="G7" s="1"/>
    </row>
    <row r="8" spans="1:7" ht="15" customHeight="1" x14ac:dyDescent="0.25">
      <c r="A8" s="1"/>
      <c r="B8" s="55" t="s">
        <v>65</v>
      </c>
      <c r="C8" s="55"/>
      <c r="D8" s="55"/>
      <c r="E8" s="7">
        <f>'Fane 2.2. Økonomisk ramme 2024'!E11</f>
        <v>9722792.6826530267</v>
      </c>
      <c r="F8" s="55" t="s">
        <v>3</v>
      </c>
      <c r="G8" s="1"/>
    </row>
    <row r="9" spans="1:7" ht="15" customHeight="1" x14ac:dyDescent="0.25">
      <c r="A9" s="1"/>
      <c r="B9" s="56" t="s">
        <v>17</v>
      </c>
      <c r="C9" s="55"/>
      <c r="D9" s="55"/>
      <c r="E9" s="8">
        <f>SUM(E8:E8)*'Fane 11. Nøgletal'!C15</f>
        <v>346131.41950244777</v>
      </c>
      <c r="F9" s="55" t="s">
        <v>3</v>
      </c>
      <c r="G9" s="1"/>
    </row>
    <row r="10" spans="1:7" ht="15" customHeight="1" x14ac:dyDescent="0.25">
      <c r="A10" s="1"/>
      <c r="B10" s="56" t="s">
        <v>44</v>
      </c>
      <c r="C10" s="55"/>
      <c r="D10" s="55"/>
      <c r="E10" s="8">
        <f>-SUM(E8:E9)*'Fane 11. Nøgletal'!C20</f>
        <v>-171171.7097366431</v>
      </c>
      <c r="F10" s="55" t="s">
        <v>3</v>
      </c>
      <c r="G10" s="1"/>
    </row>
    <row r="11" spans="1:7" x14ac:dyDescent="0.25">
      <c r="A11" s="1"/>
      <c r="B11" s="29" t="s">
        <v>19</v>
      </c>
      <c r="C11" s="29"/>
      <c r="D11" s="29"/>
      <c r="E11" s="9">
        <f>SUM(E8:E10)</f>
        <v>9897752.3924188316</v>
      </c>
      <c r="F11" s="59" t="s">
        <v>3</v>
      </c>
      <c r="G11" s="1"/>
    </row>
    <row r="12" spans="1:7" x14ac:dyDescent="0.25">
      <c r="A12" s="1"/>
      <c r="B12" s="58" t="s">
        <v>11</v>
      </c>
      <c r="C12" s="58"/>
      <c r="D12" s="58"/>
      <c r="E12" s="58"/>
      <c r="F12" s="58"/>
      <c r="G12" s="1"/>
    </row>
    <row r="13" spans="1:7" ht="15" customHeight="1" x14ac:dyDescent="0.25">
      <c r="A13" s="1"/>
      <c r="B13" s="59" t="s">
        <v>11</v>
      </c>
      <c r="C13" s="59"/>
      <c r="D13" s="59"/>
      <c r="E13" s="9">
        <f>'Fane 4. Ikke-påvirkelige omk.'!C14*(1+'Fane 11. Nøgletal'!C15)^2</f>
        <v>5022459.5871352395</v>
      </c>
      <c r="F13" s="59" t="s">
        <v>3</v>
      </c>
      <c r="G13" s="1"/>
    </row>
    <row r="14" spans="1:7" ht="15" customHeight="1" x14ac:dyDescent="0.25">
      <c r="A14" s="1"/>
      <c r="B14" s="58" t="s">
        <v>62</v>
      </c>
      <c r="C14" s="58"/>
      <c r="D14" s="58"/>
      <c r="E14" s="58"/>
      <c r="F14" s="58"/>
      <c r="G14" s="1"/>
    </row>
    <row r="15" spans="1:7" ht="15" customHeight="1" x14ac:dyDescent="0.25">
      <c r="A15" s="1"/>
      <c r="B15" s="59" t="s">
        <v>63</v>
      </c>
      <c r="C15" s="33"/>
      <c r="D15" s="33"/>
      <c r="E15" s="9">
        <v>0</v>
      </c>
      <c r="F15" s="59" t="s">
        <v>3</v>
      </c>
      <c r="G15" s="1"/>
    </row>
    <row r="16" spans="1:7" ht="15" customHeight="1" x14ac:dyDescent="0.25">
      <c r="A16" s="1"/>
      <c r="B16" s="58" t="s">
        <v>76</v>
      </c>
      <c r="C16" s="58"/>
      <c r="D16" s="58"/>
      <c r="E16" s="58"/>
      <c r="F16" s="58"/>
      <c r="G16" s="1"/>
    </row>
    <row r="17" spans="1:7" ht="15" customHeight="1" x14ac:dyDescent="0.25">
      <c r="A17" s="1"/>
      <c r="B17" s="59" t="s">
        <v>77</v>
      </c>
      <c r="C17" s="59"/>
      <c r="D17" s="59"/>
      <c r="E17" s="9">
        <f>'Fane 6. Skattesagen'!G14</f>
        <v>0</v>
      </c>
      <c r="F17" s="59" t="s">
        <v>3</v>
      </c>
      <c r="G17" s="1"/>
    </row>
    <row r="18" spans="1:7" x14ac:dyDescent="0.25">
      <c r="A18" s="1"/>
      <c r="B18" s="58" t="s">
        <v>66</v>
      </c>
      <c r="C18" s="58"/>
      <c r="D18" s="58"/>
      <c r="E18" s="10">
        <f>SUM(E11,E13,E15,E17)</f>
        <v>14920211.979554072</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TSKX0zaHrG6MzzAYQujNLoqKWCy1cisGd9HUginkR7hVpvYrpEhr/UNU1dBKrRlNPgKMwDAsPbDudukF8jZpJw==" saltValue="wuBnsKwoil/1zXopwPXuq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G48"/>
  <sheetViews>
    <sheetView showGridLines="0" view="pageLayout" zoomScaleNormal="100" workbookViewId="0"/>
  </sheetViews>
  <sheetFormatPr defaultColWidth="9.140625" defaultRowHeight="15" x14ac:dyDescent="0.25"/>
  <cols>
    <col min="1" max="1" width="5.140625" style="2" customWidth="1"/>
    <col min="2" max="2" width="51.7109375" style="2" customWidth="1"/>
    <col min="3" max="3" width="0" style="2" hidden="1" customWidth="1"/>
    <col min="4" max="4" width="27" style="2" hidden="1" customWidth="1"/>
    <col min="5" max="5" width="13.28515625" style="2" customWidth="1"/>
    <col min="6" max="6" width="3.85546875" style="2" customWidth="1"/>
    <col min="7" max="7" width="11"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86</v>
      </c>
      <c r="C3" s="91"/>
      <c r="D3" s="91"/>
      <c r="E3" s="91"/>
      <c r="F3" s="91"/>
      <c r="G3" s="1"/>
    </row>
    <row r="4" spans="1:7" ht="15" customHeight="1" x14ac:dyDescent="0.25">
      <c r="A4" s="1"/>
      <c r="B4" s="91"/>
      <c r="C4" s="91"/>
      <c r="D4" s="91"/>
      <c r="E4" s="91"/>
      <c r="F4" s="91"/>
      <c r="G4" s="1"/>
    </row>
    <row r="5" spans="1:7" x14ac:dyDescent="0.25">
      <c r="A5" s="1"/>
      <c r="B5" s="92" t="s">
        <v>20</v>
      </c>
      <c r="C5" s="92"/>
      <c r="D5" s="92"/>
      <c r="E5" s="92"/>
      <c r="F5" s="92"/>
      <c r="G5" s="1"/>
    </row>
    <row r="6" spans="1:7" x14ac:dyDescent="0.25">
      <c r="A6" s="1"/>
      <c r="B6" s="1"/>
      <c r="C6" s="1"/>
      <c r="D6" s="1"/>
      <c r="E6" s="1"/>
      <c r="F6" s="1"/>
      <c r="G6" s="1"/>
    </row>
    <row r="7" spans="1:7" x14ac:dyDescent="0.25">
      <c r="A7" s="1"/>
      <c r="B7" s="58" t="s">
        <v>12</v>
      </c>
      <c r="C7" s="58"/>
      <c r="D7" s="58"/>
      <c r="E7" s="58"/>
      <c r="F7" s="58"/>
      <c r="G7" s="1"/>
    </row>
    <row r="8" spans="1:7" ht="15" customHeight="1" x14ac:dyDescent="0.25">
      <c r="A8" s="1"/>
      <c r="B8" s="55" t="s">
        <v>87</v>
      </c>
      <c r="C8" s="55"/>
      <c r="D8" s="55"/>
      <c r="E8" s="7">
        <f>'Fane 2.3. Økonomisk ramme 2025'!E11</f>
        <v>9897752.3924188316</v>
      </c>
      <c r="F8" s="55" t="s">
        <v>3</v>
      </c>
      <c r="G8" s="1"/>
    </row>
    <row r="9" spans="1:7" ht="15" customHeight="1" x14ac:dyDescent="0.25">
      <c r="A9" s="1"/>
      <c r="B9" s="56" t="s">
        <v>17</v>
      </c>
      <c r="C9" s="55"/>
      <c r="D9" s="55"/>
      <c r="E9" s="8">
        <f>SUM(E8:E8)*'Fane 11. Nøgletal'!C15</f>
        <v>352359.98517011042</v>
      </c>
      <c r="F9" s="55" t="s">
        <v>3</v>
      </c>
      <c r="G9" s="1"/>
    </row>
    <row r="10" spans="1:7" ht="15" customHeight="1" x14ac:dyDescent="0.25">
      <c r="A10" s="1"/>
      <c r="B10" s="56" t="s">
        <v>44</v>
      </c>
      <c r="C10" s="55"/>
      <c r="D10" s="55"/>
      <c r="E10" s="8">
        <f>-SUM(E8:E9)*'Fane 11. Nøgletal'!C20</f>
        <v>-174251.91041901204</v>
      </c>
      <c r="F10" s="55" t="s">
        <v>3</v>
      </c>
      <c r="G10" s="1"/>
    </row>
    <row r="11" spans="1:7" x14ac:dyDescent="0.25">
      <c r="A11" s="1"/>
      <c r="B11" s="29" t="s">
        <v>19</v>
      </c>
      <c r="C11" s="29"/>
      <c r="D11" s="29"/>
      <c r="E11" s="9">
        <f>SUM(E8:E10)</f>
        <v>10075860.467169931</v>
      </c>
      <c r="F11" s="59" t="s">
        <v>3</v>
      </c>
      <c r="G11" s="1"/>
    </row>
    <row r="12" spans="1:7" x14ac:dyDescent="0.25">
      <c r="A12" s="1"/>
      <c r="B12" s="58" t="s">
        <v>11</v>
      </c>
      <c r="C12" s="58"/>
      <c r="D12" s="58"/>
      <c r="E12" s="58"/>
      <c r="F12" s="58"/>
      <c r="G12" s="1"/>
    </row>
    <row r="13" spans="1:7" ht="15" customHeight="1" x14ac:dyDescent="0.25">
      <c r="A13" s="1"/>
      <c r="B13" s="59" t="s">
        <v>11</v>
      </c>
      <c r="C13" s="59"/>
      <c r="D13" s="59"/>
      <c r="E13" s="9">
        <f>'Fane 4. Ikke-påvirkelige omk.'!C14*(1+'Fane 11. Nøgletal'!C15)^3</f>
        <v>5201259.1484372541</v>
      </c>
      <c r="F13" s="59" t="s">
        <v>3</v>
      </c>
      <c r="G13" s="1"/>
    </row>
    <row r="14" spans="1:7" ht="15" customHeight="1" x14ac:dyDescent="0.25">
      <c r="A14" s="1"/>
      <c r="B14" s="58" t="s">
        <v>62</v>
      </c>
      <c r="C14" s="58"/>
      <c r="D14" s="58"/>
      <c r="E14" s="58"/>
      <c r="F14" s="58"/>
      <c r="G14" s="1"/>
    </row>
    <row r="15" spans="1:7" ht="15" customHeight="1" x14ac:dyDescent="0.25">
      <c r="A15" s="1"/>
      <c r="B15" s="59" t="s">
        <v>63</v>
      </c>
      <c r="C15" s="33"/>
      <c r="D15" s="33"/>
      <c r="E15" s="9">
        <v>0</v>
      </c>
      <c r="F15" s="59" t="s">
        <v>3</v>
      </c>
      <c r="G15" s="1"/>
    </row>
    <row r="16" spans="1:7" ht="15" customHeight="1" x14ac:dyDescent="0.25">
      <c r="A16" s="1"/>
      <c r="B16" s="58" t="s">
        <v>76</v>
      </c>
      <c r="C16" s="58"/>
      <c r="D16" s="58"/>
      <c r="E16" s="58"/>
      <c r="F16" s="58"/>
      <c r="G16" s="1"/>
    </row>
    <row r="17" spans="1:7" ht="15" customHeight="1" x14ac:dyDescent="0.25">
      <c r="A17" s="1"/>
      <c r="B17" s="59" t="s">
        <v>77</v>
      </c>
      <c r="C17" s="59"/>
      <c r="D17" s="59"/>
      <c r="E17" s="9">
        <f>'Fane 6. Skattesagen'!G15</f>
        <v>0</v>
      </c>
      <c r="F17" s="59" t="s">
        <v>3</v>
      </c>
      <c r="G17" s="1"/>
    </row>
    <row r="18" spans="1:7" x14ac:dyDescent="0.25">
      <c r="A18" s="1"/>
      <c r="B18" s="58" t="s">
        <v>88</v>
      </c>
      <c r="C18" s="58"/>
      <c r="D18" s="58"/>
      <c r="E18" s="10">
        <f>SUM(E11,E13,E15,E17)</f>
        <v>15277119.615607185</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gbtFs4rQr9GKvauCDUkFICN1Skez5rfZYu3WLmonIQDdE8qlDMqqh6ZduTOhETJj33Qq/LWkwvskH9uj5YVHlg==" saltValue="sCql0GSgkPDfxP4gD+uY7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46"/>
  <sheetViews>
    <sheetView showGridLines="0" view="pageLayout" zoomScaleNormal="100" workbookViewId="0"/>
  </sheetViews>
  <sheetFormatPr defaultColWidth="9.140625" defaultRowHeight="15" x14ac:dyDescent="0.25"/>
  <cols>
    <col min="1" max="1" width="7.85546875" style="2" customWidth="1"/>
    <col min="2" max="3" width="9.140625" style="2"/>
    <col min="4" max="4" width="37.28515625" style="2" customWidth="1"/>
    <col min="5" max="5" width="12.28515625" style="2" bestFit="1"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89</v>
      </c>
      <c r="C3" s="107"/>
      <c r="D3" s="107"/>
      <c r="E3" s="107"/>
      <c r="F3" s="107"/>
      <c r="G3" s="1"/>
    </row>
    <row r="4" spans="1:7" ht="29.2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8" t="s">
        <v>90</v>
      </c>
      <c r="C8" s="58"/>
      <c r="D8" s="58"/>
      <c r="E8" s="58"/>
      <c r="F8" s="58"/>
      <c r="G8" s="1"/>
    </row>
    <row r="9" spans="1:7" x14ac:dyDescent="0.25">
      <c r="A9" s="1"/>
      <c r="B9" s="108" t="s">
        <v>22</v>
      </c>
      <c r="C9" s="108"/>
      <c r="D9" s="108"/>
      <c r="E9" s="7">
        <v>8971345.0509957708</v>
      </c>
      <c r="F9" s="55" t="s">
        <v>3</v>
      </c>
      <c r="G9" s="1"/>
    </row>
    <row r="10" spans="1:7" x14ac:dyDescent="0.25">
      <c r="A10" s="1"/>
      <c r="B10" s="109" t="s">
        <v>104</v>
      </c>
      <c r="C10" s="110"/>
      <c r="D10" s="111"/>
      <c r="E10" s="7">
        <v>0</v>
      </c>
      <c r="F10" s="55" t="s">
        <v>3</v>
      </c>
      <c r="G10" s="1"/>
    </row>
    <row r="11" spans="1:7" x14ac:dyDescent="0.25">
      <c r="A11" s="1"/>
      <c r="B11" s="94" t="s">
        <v>50</v>
      </c>
      <c r="C11" s="94"/>
      <c r="D11" s="94"/>
      <c r="E11" s="7">
        <v>187762.5785</v>
      </c>
      <c r="F11" s="55" t="s">
        <v>3</v>
      </c>
      <c r="G11" s="1"/>
    </row>
    <row r="12" spans="1:7" x14ac:dyDescent="0.25">
      <c r="A12" s="1"/>
      <c r="B12" s="94" t="s">
        <v>54</v>
      </c>
      <c r="C12" s="94"/>
      <c r="D12" s="94"/>
      <c r="E12" s="7">
        <v>0</v>
      </c>
      <c r="F12" s="55" t="s">
        <v>3</v>
      </c>
      <c r="G12" s="1"/>
    </row>
    <row r="13" spans="1:7" x14ac:dyDescent="0.25">
      <c r="A13" s="1"/>
      <c r="B13" s="94" t="s">
        <v>51</v>
      </c>
      <c r="C13" s="94"/>
      <c r="D13" s="94"/>
      <c r="E13" s="8">
        <v>0</v>
      </c>
      <c r="F13" s="55" t="s">
        <v>3</v>
      </c>
      <c r="G13" s="1"/>
    </row>
    <row r="14" spans="1:7" x14ac:dyDescent="0.25">
      <c r="A14" s="1"/>
      <c r="B14" s="94" t="s">
        <v>17</v>
      </c>
      <c r="C14" s="94"/>
      <c r="D14" s="94"/>
      <c r="E14" s="8">
        <f>E9*'Fane 11. Nøgletal'!C13+SUM(E11:E13)*'Fane 11. Nøgletal'!C14</f>
        <v>110070.02613119841</v>
      </c>
      <c r="F14" s="55" t="s">
        <v>3</v>
      </c>
      <c r="G14" s="1"/>
    </row>
    <row r="15" spans="1:7" x14ac:dyDescent="0.25">
      <c r="A15" s="1"/>
      <c r="B15" s="94" t="s">
        <v>44</v>
      </c>
      <c r="C15" s="94"/>
      <c r="D15" s="94"/>
      <c r="E15" s="8">
        <f>-SUM(E9:E14)*'Fane 11. Nøgletal'!C20</f>
        <v>-157576.02014565849</v>
      </c>
      <c r="F15" s="55" t="s">
        <v>3</v>
      </c>
      <c r="G15" s="1"/>
    </row>
    <row r="16" spans="1:7" x14ac:dyDescent="0.25">
      <c r="A16" s="1"/>
      <c r="B16" s="95" t="s">
        <v>19</v>
      </c>
      <c r="C16" s="95"/>
      <c r="D16" s="95"/>
      <c r="E16" s="34">
        <f>SUM(E9:E15)</f>
        <v>9111601.635481311</v>
      </c>
      <c r="F16" s="35" t="s">
        <v>3</v>
      </c>
      <c r="G16" s="1"/>
    </row>
    <row r="17" spans="1:7" x14ac:dyDescent="0.25">
      <c r="A17" s="1"/>
      <c r="B17" s="96" t="s">
        <v>11</v>
      </c>
      <c r="C17" s="96"/>
      <c r="D17" s="96"/>
      <c r="E17" s="58"/>
      <c r="F17" s="58"/>
      <c r="G17" s="1"/>
    </row>
    <row r="18" spans="1:7" x14ac:dyDescent="0.25">
      <c r="A18" s="1"/>
      <c r="B18" s="97" t="s">
        <v>11</v>
      </c>
      <c r="C18" s="97"/>
      <c r="D18" s="97"/>
      <c r="E18" s="9">
        <v>3799537.3596197604</v>
      </c>
      <c r="F18" s="59" t="s">
        <v>3</v>
      </c>
      <c r="G18" s="1"/>
    </row>
    <row r="19" spans="1:7" ht="15.4" customHeight="1" x14ac:dyDescent="0.25">
      <c r="A19" s="1"/>
      <c r="B19" s="58" t="s">
        <v>36</v>
      </c>
      <c r="C19" s="58"/>
      <c r="D19" s="58"/>
      <c r="E19" s="58"/>
      <c r="F19" s="58"/>
      <c r="G19" s="1"/>
    </row>
    <row r="20" spans="1:7" ht="15.75" customHeight="1" x14ac:dyDescent="0.25">
      <c r="A20" s="1"/>
      <c r="B20" s="98" t="s">
        <v>33</v>
      </c>
      <c r="C20" s="99"/>
      <c r="D20" s="100"/>
      <c r="E20" s="28">
        <v>0</v>
      </c>
      <c r="F20" s="27" t="s">
        <v>3</v>
      </c>
      <c r="G20" s="1"/>
    </row>
    <row r="21" spans="1:7" x14ac:dyDescent="0.25">
      <c r="A21" s="1"/>
      <c r="B21" s="98" t="s">
        <v>34</v>
      </c>
      <c r="C21" s="99"/>
      <c r="D21" s="100"/>
      <c r="E21" s="51">
        <v>0</v>
      </c>
      <c r="F21" s="27" t="s">
        <v>3</v>
      </c>
      <c r="G21" s="1"/>
    </row>
    <row r="22" spans="1:7" x14ac:dyDescent="0.25">
      <c r="A22" s="1"/>
      <c r="B22" s="101" t="s">
        <v>37</v>
      </c>
      <c r="C22" s="102"/>
      <c r="D22" s="103"/>
      <c r="E22" s="9">
        <f>SUM(E20:E21)</f>
        <v>0</v>
      </c>
      <c r="F22" s="9" t="s">
        <v>3</v>
      </c>
      <c r="G22" s="1"/>
    </row>
    <row r="23" spans="1:7" ht="15.75" customHeight="1" x14ac:dyDescent="0.25">
      <c r="A23" s="1"/>
      <c r="B23" s="58" t="s">
        <v>62</v>
      </c>
      <c r="C23" s="58"/>
      <c r="D23" s="58"/>
      <c r="E23" s="58"/>
      <c r="F23" s="58"/>
      <c r="G23" s="1"/>
    </row>
    <row r="24" spans="1:7" x14ac:dyDescent="0.25">
      <c r="A24" s="1"/>
      <c r="B24" s="68" t="s">
        <v>27</v>
      </c>
      <c r="C24" s="29"/>
      <c r="D24" s="29"/>
      <c r="E24" s="9">
        <v>-92916.761270209769</v>
      </c>
      <c r="F24" s="59" t="s">
        <v>3</v>
      </c>
      <c r="G24" s="1"/>
    </row>
    <row r="25" spans="1:7" x14ac:dyDescent="0.25">
      <c r="A25" s="1"/>
      <c r="B25" s="68" t="s">
        <v>63</v>
      </c>
      <c r="C25" s="29"/>
      <c r="D25" s="29"/>
      <c r="E25" s="9">
        <v>0</v>
      </c>
      <c r="F25" s="59" t="s">
        <v>3</v>
      </c>
      <c r="G25" s="1"/>
    </row>
    <row r="26" spans="1:7" x14ac:dyDescent="0.25">
      <c r="A26" s="1"/>
      <c r="B26" s="58" t="s">
        <v>76</v>
      </c>
      <c r="C26" s="58"/>
      <c r="D26" s="58"/>
      <c r="E26" s="58"/>
      <c r="F26" s="58"/>
      <c r="G26" s="1"/>
    </row>
    <row r="27" spans="1:7" x14ac:dyDescent="0.25">
      <c r="A27" s="1"/>
      <c r="B27" s="104" t="s">
        <v>77</v>
      </c>
      <c r="C27" s="105"/>
      <c r="D27" s="106"/>
      <c r="E27" s="9">
        <f>'Fane 6. Skattesagen'!G11</f>
        <v>0</v>
      </c>
      <c r="F27" s="59" t="s">
        <v>3</v>
      </c>
      <c r="G27" s="1"/>
    </row>
    <row r="28" spans="1:7" ht="15" customHeight="1" x14ac:dyDescent="0.25">
      <c r="A28" s="1"/>
      <c r="B28" s="36" t="s">
        <v>151</v>
      </c>
      <c r="C28" s="36"/>
      <c r="D28" s="36"/>
      <c r="E28" s="37">
        <f>E16+E18+E22+E24+E25+E27</f>
        <v>12818222.233830862</v>
      </c>
      <c r="F28" s="38" t="s">
        <v>3</v>
      </c>
      <c r="G28" s="1"/>
    </row>
    <row r="29" spans="1:7" ht="27" customHeight="1" x14ac:dyDescent="0.25">
      <c r="A29" s="1"/>
      <c r="B29" s="93" t="s">
        <v>91</v>
      </c>
      <c r="C29" s="93"/>
      <c r="D29" s="93"/>
      <c r="E29" s="93"/>
      <c r="F29" s="93"/>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sheetData>
  <sheetProtection algorithmName="SHA-512" hashValue="s2du8OlyL/AyqNwDyG0NYoNPoRGQSI4xDxID7kAlo5MLQkPwPbXHhPFchIhuIaj+FxnfEHyyJKUMn3eVKSl5fQ==" saltValue="c/C62sHK97Bq3ovM253JVQ=="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16">
    <mergeCell ref="B3:F4"/>
    <mergeCell ref="B9:D9"/>
    <mergeCell ref="B11:D11"/>
    <mergeCell ref="B13:D13"/>
    <mergeCell ref="B14:D14"/>
    <mergeCell ref="B12:D12"/>
    <mergeCell ref="B10:D10"/>
    <mergeCell ref="B29:F29"/>
    <mergeCell ref="B15:D15"/>
    <mergeCell ref="B16:D16"/>
    <mergeCell ref="B17:D17"/>
    <mergeCell ref="B18:D18"/>
    <mergeCell ref="B20:D20"/>
    <mergeCell ref="B21:D21"/>
    <mergeCell ref="B22:D22"/>
    <mergeCell ref="B27:D27"/>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F50"/>
  <sheetViews>
    <sheetView showGridLines="0" view="pageLayout" zoomScaleNormal="100" workbookViewId="0">
      <selection activeCell="B3" sqref="B3:D4"/>
    </sheetView>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1" t="s">
        <v>43</v>
      </c>
      <c r="C3" s="91"/>
      <c r="D3" s="91"/>
      <c r="E3" s="1"/>
      <c r="F3" s="1"/>
    </row>
    <row r="4" spans="1:6" ht="15" customHeight="1" x14ac:dyDescent="0.25">
      <c r="A4" s="1"/>
      <c r="B4" s="91"/>
      <c r="C4" s="91"/>
      <c r="D4" s="91"/>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2" t="s">
        <v>92</v>
      </c>
      <c r="C8" s="113"/>
      <c r="D8" s="114"/>
      <c r="E8" s="1"/>
      <c r="F8" s="1"/>
    </row>
    <row r="9" spans="1:6" ht="15" customHeight="1" x14ac:dyDescent="0.25">
      <c r="A9" s="1"/>
      <c r="B9" s="17" t="s">
        <v>25</v>
      </c>
      <c r="C9" s="59" t="s">
        <v>110</v>
      </c>
      <c r="D9" s="59"/>
      <c r="E9" s="1"/>
      <c r="F9" s="1"/>
    </row>
    <row r="10" spans="1:6" x14ac:dyDescent="0.25">
      <c r="A10" s="1"/>
      <c r="B10" s="23" t="s">
        <v>128</v>
      </c>
      <c r="C10" s="8">
        <v>4341980</v>
      </c>
      <c r="D10" s="12" t="s">
        <v>3</v>
      </c>
      <c r="E10" s="1"/>
      <c r="F10" s="1"/>
    </row>
    <row r="11" spans="1:6" x14ac:dyDescent="0.25">
      <c r="A11" s="1"/>
      <c r="B11" s="23" t="s">
        <v>129</v>
      </c>
      <c r="C11" s="8">
        <v>18477</v>
      </c>
      <c r="D11" s="12" t="s">
        <v>3</v>
      </c>
      <c r="E11" s="1"/>
      <c r="F11" s="1"/>
    </row>
    <row r="12" spans="1:6" x14ac:dyDescent="0.25">
      <c r="A12" s="1"/>
      <c r="B12" s="23" t="s">
        <v>155</v>
      </c>
      <c r="C12" s="8">
        <f>12384*0.5</f>
        <v>6192</v>
      </c>
      <c r="D12" s="12" t="s">
        <v>3</v>
      </c>
      <c r="E12" s="1"/>
      <c r="F12" s="1"/>
    </row>
    <row r="13" spans="1:6" x14ac:dyDescent="0.25">
      <c r="A13" s="1"/>
      <c r="B13" s="74" t="s">
        <v>93</v>
      </c>
      <c r="C13" s="10">
        <f>SUM(C10:C12)</f>
        <v>4366649</v>
      </c>
      <c r="D13" s="11" t="s">
        <v>3</v>
      </c>
      <c r="E13" s="1"/>
      <c r="F13" s="1"/>
    </row>
    <row r="14" spans="1:6" x14ac:dyDescent="0.25">
      <c r="A14" s="1"/>
      <c r="B14" s="74" t="s">
        <v>94</v>
      </c>
      <c r="C14" s="10">
        <f>C13*(1+'Fane 11. Nøgletal'!C15)^2</f>
        <v>4683088.5250766408</v>
      </c>
      <c r="D14" s="11" t="s">
        <v>3</v>
      </c>
      <c r="E14" s="1"/>
      <c r="F14" s="1"/>
    </row>
    <row r="15" spans="1:6" x14ac:dyDescent="0.25">
      <c r="A15" s="1"/>
      <c r="B15" s="14"/>
      <c r="C15" s="13"/>
      <c r="D15" s="13"/>
      <c r="E15" s="1"/>
      <c r="F15" s="1"/>
    </row>
    <row r="16" spans="1:6" x14ac:dyDescent="0.25">
      <c r="A16" s="1"/>
      <c r="B16" s="14"/>
      <c r="C16" s="13"/>
      <c r="D16" s="13"/>
      <c r="E16" s="1"/>
      <c r="F16" s="1"/>
    </row>
    <row r="17" spans="1:6" x14ac:dyDescent="0.25">
      <c r="A17" s="1"/>
      <c r="B17" s="1"/>
      <c r="C17" s="1"/>
      <c r="D17" s="1"/>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rpDHAv/hshKgRhBAXjynkUt0sl03LkJiKUukh+xYgaiGv/TiSCFlK4QYMZqMz+z3Vg4/3WnivCjqC9Bk3zLG6w==" saltValue="itzh3cmTnaF7TXTHrwStlg=="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G45"/>
  <sheetViews>
    <sheetView showGridLines="0" view="pageLayout" zoomScaleNormal="100" workbookViewId="0"/>
  </sheetViews>
  <sheetFormatPr defaultColWidth="9.140625" defaultRowHeight="15" x14ac:dyDescent="0.25"/>
  <cols>
    <col min="1" max="1" width="3.5703125" style="2" customWidth="1"/>
    <col min="2" max="3" width="9.140625" style="2"/>
    <col min="4" max="4" width="47.28515625" style="2" customWidth="1"/>
    <col min="5" max="5" width="10.7109375" style="2"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7" t="s">
        <v>153</v>
      </c>
      <c r="C3" s="107"/>
      <c r="D3" s="107"/>
      <c r="E3" s="107"/>
      <c r="F3" s="107"/>
      <c r="G3" s="1"/>
    </row>
    <row r="4" spans="1:7" ht="15" customHeight="1" x14ac:dyDescent="0.25">
      <c r="A4" s="1"/>
      <c r="B4" s="107"/>
      <c r="C4" s="107"/>
      <c r="D4" s="107"/>
      <c r="E4" s="107"/>
      <c r="F4" s="107"/>
      <c r="G4" s="1"/>
    </row>
    <row r="5" spans="1:7" ht="15" customHeight="1" x14ac:dyDescent="0.25">
      <c r="A5" s="1"/>
      <c r="B5" s="54"/>
      <c r="C5" s="54"/>
      <c r="D5" s="54"/>
      <c r="E5" s="54"/>
      <c r="F5" s="54"/>
      <c r="G5" s="1"/>
    </row>
    <row r="6" spans="1:7" ht="15" customHeight="1" x14ac:dyDescent="0.25">
      <c r="A6" s="1"/>
      <c r="B6" s="54"/>
      <c r="C6" s="54"/>
      <c r="D6" s="54"/>
      <c r="E6" s="54"/>
      <c r="F6" s="54"/>
      <c r="G6" s="1"/>
    </row>
    <row r="7" spans="1:7" x14ac:dyDescent="0.25">
      <c r="A7" s="1"/>
      <c r="B7" s="1"/>
      <c r="C7" s="1"/>
      <c r="D7" s="1"/>
      <c r="E7" s="1"/>
      <c r="F7" s="1"/>
      <c r="G7" s="1"/>
    </row>
    <row r="8" spans="1:7" x14ac:dyDescent="0.25">
      <c r="A8" s="1"/>
      <c r="B8" s="112" t="s">
        <v>72</v>
      </c>
      <c r="C8" s="113"/>
      <c r="D8" s="113"/>
      <c r="E8" s="113"/>
      <c r="F8" s="114"/>
      <c r="G8" s="1"/>
    </row>
    <row r="9" spans="1:7" x14ac:dyDescent="0.25">
      <c r="A9" s="1"/>
      <c r="B9" s="119" t="s">
        <v>95</v>
      </c>
      <c r="C9" s="120"/>
      <c r="D9" s="121"/>
      <c r="E9" s="8">
        <v>-3505929.4017036259</v>
      </c>
      <c r="F9" s="12" t="s">
        <v>3</v>
      </c>
      <c r="G9" s="1"/>
    </row>
    <row r="10" spans="1:7" x14ac:dyDescent="0.25">
      <c r="A10" s="1"/>
      <c r="B10" s="119" t="s">
        <v>130</v>
      </c>
      <c r="C10" s="120"/>
      <c r="D10" s="121"/>
      <c r="E10" s="8">
        <v>-116947.35605806857</v>
      </c>
      <c r="F10" s="12" t="s">
        <v>3</v>
      </c>
      <c r="G10" s="1"/>
    </row>
    <row r="11" spans="1:7" x14ac:dyDescent="0.25">
      <c r="A11" s="1"/>
      <c r="B11" s="74"/>
      <c r="C11" s="22"/>
      <c r="D11" s="22"/>
      <c r="E11" s="22"/>
      <c r="F11" s="75"/>
      <c r="G11" s="1"/>
    </row>
    <row r="12" spans="1:7" ht="68.25" customHeight="1" x14ac:dyDescent="0.25">
      <c r="A12" s="1"/>
      <c r="B12" s="125" t="s">
        <v>131</v>
      </c>
      <c r="C12" s="126"/>
      <c r="D12" s="126"/>
      <c r="E12" s="126"/>
      <c r="F12" s="127"/>
      <c r="G12" s="1"/>
    </row>
    <row r="13" spans="1:7" ht="27" customHeight="1" x14ac:dyDescent="0.25">
      <c r="A13" s="1"/>
      <c r="B13" s="1"/>
      <c r="C13" s="1"/>
      <c r="D13" s="1"/>
      <c r="E13" s="1"/>
      <c r="F13" s="1"/>
      <c r="G13" s="1"/>
    </row>
    <row r="14" spans="1:7" ht="28.5" customHeight="1" x14ac:dyDescent="0.25">
      <c r="A14" s="1"/>
      <c r="B14" s="112" t="s">
        <v>73</v>
      </c>
      <c r="C14" s="113"/>
      <c r="D14" s="113"/>
      <c r="E14" s="113"/>
      <c r="F14" s="114"/>
      <c r="G14" s="1"/>
    </row>
    <row r="15" spans="1:7" x14ac:dyDescent="0.25">
      <c r="A15" s="1"/>
      <c r="B15" s="119" t="s">
        <v>96</v>
      </c>
      <c r="C15" s="120"/>
      <c r="D15" s="121"/>
      <c r="E15" s="8">
        <f>-29236.8194061024*2</f>
        <v>-58473.638812204801</v>
      </c>
      <c r="F15" s="12" t="s">
        <v>3</v>
      </c>
      <c r="G15" s="1"/>
    </row>
    <row r="16" spans="1:7" x14ac:dyDescent="0.25">
      <c r="A16" s="1"/>
      <c r="B16" s="119" t="s">
        <v>132</v>
      </c>
      <c r="C16" s="120"/>
      <c r="D16" s="121"/>
      <c r="E16" s="8">
        <f>-29236.8194061024*2</f>
        <v>-58473.638812204801</v>
      </c>
      <c r="F16" s="12" t="s">
        <v>3</v>
      </c>
      <c r="G16" s="1"/>
    </row>
    <row r="17" spans="1:7" x14ac:dyDescent="0.25">
      <c r="A17" s="1"/>
      <c r="B17" s="74"/>
      <c r="C17" s="22"/>
      <c r="D17" s="22"/>
      <c r="E17" s="22"/>
      <c r="F17" s="75"/>
      <c r="G17" s="1"/>
    </row>
    <row r="18" spans="1:7" ht="31.5" customHeight="1" x14ac:dyDescent="0.25">
      <c r="A18" s="1"/>
      <c r="B18" s="125" t="s">
        <v>74</v>
      </c>
      <c r="C18" s="126"/>
      <c r="D18" s="126"/>
      <c r="E18" s="126"/>
      <c r="F18" s="127"/>
      <c r="G18" s="1"/>
    </row>
    <row r="19" spans="1:7" ht="28.5" customHeight="1" x14ac:dyDescent="0.25">
      <c r="A19" s="1"/>
      <c r="B19" s="1"/>
      <c r="C19" s="1"/>
      <c r="D19" s="1"/>
      <c r="E19" s="1"/>
      <c r="F19" s="1"/>
      <c r="G19" s="1"/>
    </row>
    <row r="20" spans="1:7" ht="28.5" customHeight="1" x14ac:dyDescent="0.25">
      <c r="A20" s="1"/>
      <c r="B20" s="65" t="s">
        <v>97</v>
      </c>
      <c r="C20" s="66"/>
      <c r="D20" s="66"/>
      <c r="E20" s="66"/>
      <c r="F20" s="67"/>
      <c r="G20" s="1"/>
    </row>
    <row r="21" spans="1:7" x14ac:dyDescent="0.25">
      <c r="A21" s="1"/>
      <c r="B21" s="69" t="s">
        <v>98</v>
      </c>
      <c r="C21" s="70"/>
      <c r="D21" s="71"/>
      <c r="E21" s="8">
        <v>12956351.926377321</v>
      </c>
      <c r="F21" s="12" t="s">
        <v>3</v>
      </c>
      <c r="G21" s="1"/>
    </row>
    <row r="22" spans="1:7" x14ac:dyDescent="0.25">
      <c r="A22" s="1"/>
      <c r="B22" s="69" t="s">
        <v>133</v>
      </c>
      <c r="C22" s="70"/>
      <c r="D22" s="71"/>
      <c r="E22" s="8">
        <v>14582660</v>
      </c>
      <c r="F22" s="12" t="s">
        <v>3</v>
      </c>
      <c r="G22" s="1"/>
    </row>
    <row r="23" spans="1:7" x14ac:dyDescent="0.25">
      <c r="A23" s="1"/>
      <c r="B23" s="69" t="s">
        <v>26</v>
      </c>
      <c r="C23" s="70"/>
      <c r="D23" s="71"/>
      <c r="E23" s="8">
        <v>0</v>
      </c>
      <c r="F23" s="12" t="s">
        <v>3</v>
      </c>
      <c r="G23" s="1"/>
    </row>
    <row r="24" spans="1:7" x14ac:dyDescent="0.25">
      <c r="A24" s="1"/>
      <c r="B24" s="60" t="s">
        <v>134</v>
      </c>
      <c r="C24" s="61"/>
      <c r="D24" s="62"/>
      <c r="E24" s="52">
        <f>E21-(E22-E23)</f>
        <v>-1626308.0736226793</v>
      </c>
      <c r="F24" s="15" t="s">
        <v>3</v>
      </c>
      <c r="G24" s="1"/>
    </row>
    <row r="25" spans="1:7" x14ac:dyDescent="0.25">
      <c r="A25" s="1"/>
      <c r="B25" s="74"/>
      <c r="C25" s="22"/>
      <c r="D25" s="22"/>
      <c r="E25" s="22"/>
      <c r="F25" s="75"/>
      <c r="G25" s="1"/>
    </row>
    <row r="26" spans="1:7" ht="33.75" customHeight="1" x14ac:dyDescent="0.25">
      <c r="A26" s="1"/>
      <c r="B26" s="1"/>
      <c r="C26" s="1"/>
      <c r="D26" s="1"/>
      <c r="E26" s="1"/>
      <c r="F26" s="1"/>
      <c r="G26" s="1"/>
    </row>
    <row r="27" spans="1:7" ht="28.5" customHeight="1" x14ac:dyDescent="0.25">
      <c r="A27" s="1"/>
      <c r="B27" s="112" t="s">
        <v>135</v>
      </c>
      <c r="C27" s="113"/>
      <c r="D27" s="113"/>
      <c r="E27" s="113"/>
      <c r="F27" s="114"/>
      <c r="G27" s="1"/>
    </row>
    <row r="28" spans="1:7" x14ac:dyDescent="0.25">
      <c r="A28" s="1"/>
      <c r="B28" s="122" t="s">
        <v>62</v>
      </c>
      <c r="C28" s="123"/>
      <c r="D28" s="124"/>
      <c r="E28" s="8">
        <f>IF(AND(E9&gt;0,E24&gt;0),0,IF(AND(E9&lt;0,E24&lt;0),E15+E16+E24,IF(AND(E9&lt;0,E24&gt;0),E15+E16,IF(AND(E9&gt;0,E24&lt;0,E10=0),E24,IF(AND(E9&gt;0,E24&lt;0,ABS(E10)&gt;ABS(E24)),0,IF(AND(E9&gt;0,E24&lt;0,ABS(E10)&lt;ABS(E24)),(E10-ABS(E24)),"fejl"))))))</f>
        <v>-1743255.351247089</v>
      </c>
      <c r="F28" s="12" t="s">
        <v>3</v>
      </c>
      <c r="G28" s="1"/>
    </row>
    <row r="29" spans="1:7" x14ac:dyDescent="0.25">
      <c r="A29" s="1"/>
      <c r="B29" s="122" t="s">
        <v>45</v>
      </c>
      <c r="C29" s="123"/>
      <c r="D29" s="124"/>
      <c r="E29" s="8">
        <v>2</v>
      </c>
      <c r="F29" s="12" t="s">
        <v>18</v>
      </c>
      <c r="G29" s="1"/>
    </row>
    <row r="30" spans="1:7" x14ac:dyDescent="0.25">
      <c r="A30" s="1"/>
      <c r="B30" s="115" t="s">
        <v>75</v>
      </c>
      <c r="C30" s="115"/>
      <c r="D30" s="115"/>
      <c r="E30" s="9">
        <f>E28/E29</f>
        <v>-871627.67562354449</v>
      </c>
      <c r="F30" s="15" t="s">
        <v>3</v>
      </c>
      <c r="G30" s="1"/>
    </row>
    <row r="31" spans="1:7" x14ac:dyDescent="0.25">
      <c r="A31" s="1"/>
      <c r="B31" s="116"/>
      <c r="C31" s="117"/>
      <c r="D31" s="117"/>
      <c r="E31" s="117"/>
      <c r="F31" s="11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B37" s="31"/>
      <c r="C37" s="31"/>
      <c r="D37" s="31"/>
      <c r="E37" s="31"/>
      <c r="F37" s="31"/>
    </row>
    <row r="38" spans="1:7" x14ac:dyDescent="0.25">
      <c r="A38" s="31"/>
      <c r="B38" s="31"/>
      <c r="C38" s="31"/>
      <c r="D38" s="31"/>
      <c r="E38" s="31"/>
      <c r="F38" s="31"/>
      <c r="G38" s="31"/>
    </row>
    <row r="39" spans="1:7" x14ac:dyDescent="0.25">
      <c r="A39" s="31"/>
      <c r="B39" s="31"/>
      <c r="C39" s="31"/>
      <c r="D39" s="31"/>
      <c r="E39" s="31"/>
      <c r="F39" s="31"/>
      <c r="G39" s="31"/>
    </row>
    <row r="40" spans="1:7" x14ac:dyDescent="0.25">
      <c r="A40" s="31"/>
      <c r="B40" s="31"/>
      <c r="C40" s="31"/>
      <c r="D40" s="31"/>
      <c r="E40" s="31"/>
      <c r="F40" s="31"/>
      <c r="G40" s="31"/>
    </row>
    <row r="41" spans="1:7" x14ac:dyDescent="0.25">
      <c r="A41" s="31"/>
      <c r="B41" s="31"/>
      <c r="C41" s="31"/>
      <c r="D41" s="31"/>
      <c r="E41" s="31"/>
      <c r="F41" s="31"/>
      <c r="G41" s="31"/>
    </row>
    <row r="42" spans="1:7" x14ac:dyDescent="0.25">
      <c r="A42" s="31"/>
      <c r="B42" s="31"/>
      <c r="C42" s="31"/>
      <c r="D42" s="31"/>
      <c r="E42" s="31"/>
      <c r="F42" s="31"/>
      <c r="G42" s="31"/>
    </row>
    <row r="43" spans="1:7" x14ac:dyDescent="0.25">
      <c r="A43" s="31"/>
      <c r="B43" s="31"/>
      <c r="C43" s="31"/>
      <c r="D43" s="31"/>
      <c r="E43" s="31"/>
      <c r="F43" s="31"/>
      <c r="G43" s="31"/>
    </row>
    <row r="44" spans="1:7" x14ac:dyDescent="0.25">
      <c r="A44" s="31"/>
      <c r="B44" s="31"/>
      <c r="C44" s="31"/>
      <c r="D44" s="31"/>
      <c r="E44" s="31"/>
      <c r="F44" s="31"/>
      <c r="G44" s="31"/>
    </row>
    <row r="45" spans="1:7" x14ac:dyDescent="0.25">
      <c r="A45" s="31"/>
      <c r="B45" s="31"/>
      <c r="C45" s="31"/>
      <c r="D45" s="31"/>
      <c r="E45" s="31"/>
      <c r="F45" s="31"/>
      <c r="G45" s="31"/>
    </row>
  </sheetData>
  <sheetProtection algorithmName="SHA-512" hashValue="58tXJwr8aVH/5SHcUsl9Tllg6xtdP8ITj9SL8LLGvQ+kqjkXF4lfENuK7VaIdIraQqdzAj7fj+Hlo9ELN7Mtkw==" saltValue="ieTvxiNlb7Q9JjBBMa4c+A==" spinCount="100000" sheet="1" objects="1" scenarios="1"/>
  <customSheetViews>
    <customSheetView guid="{61068CEC-D951-4EA8-B2F0-E3FAF0E2CE33}" showPageBreaks="1" showGridLines="0" view="pageLayout" topLeftCell="A28">
      <selection activeCell="E39" sqref="E39"/>
      <pageMargins left="0.79166666666666663" right="0.7" top="0.75" bottom="0.75" header="0.3" footer="0.3"/>
      <pageSetup paperSize="9" orientation="portrait" r:id="rId1"/>
    </customSheetView>
  </customSheetViews>
  <mergeCells count="14">
    <mergeCell ref="B30:D30"/>
    <mergeCell ref="B31:F31"/>
    <mergeCell ref="B3:F4"/>
    <mergeCell ref="B16:D16"/>
    <mergeCell ref="B9:D9"/>
    <mergeCell ref="B29:D29"/>
    <mergeCell ref="B8:F8"/>
    <mergeCell ref="B10:D10"/>
    <mergeCell ref="B12:F12"/>
    <mergeCell ref="B14:F14"/>
    <mergeCell ref="B15:D15"/>
    <mergeCell ref="B18:F18"/>
    <mergeCell ref="B27:F27"/>
    <mergeCell ref="B28:D28"/>
  </mergeCells>
  <pageMargins left="0.79166666666666663"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I45"/>
  <sheetViews>
    <sheetView view="pageLayout" zoomScaleNormal="100" workbookViewId="0"/>
  </sheetViews>
  <sheetFormatPr defaultColWidth="9.140625" defaultRowHeight="15" x14ac:dyDescent="0.25"/>
  <cols>
    <col min="1" max="1" width="4.7109375" style="50" customWidth="1"/>
    <col min="2" max="2" width="22.5703125" style="50" customWidth="1"/>
    <col min="3" max="3" width="8.28515625" style="50" customWidth="1"/>
    <col min="4" max="6" width="10.7109375" style="50" customWidth="1"/>
    <col min="7" max="7" width="11.140625" style="50" customWidth="1"/>
    <col min="8" max="8" width="3.28515625" style="50" customWidth="1"/>
    <col min="9" max="9" width="4.85546875" style="50" customWidth="1"/>
    <col min="10" max="16384" width="9.140625" style="5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1" t="s">
        <v>127</v>
      </c>
      <c r="C3" s="91"/>
      <c r="D3" s="91"/>
      <c r="E3" s="91"/>
      <c r="F3" s="91"/>
      <c r="G3" s="91"/>
      <c r="H3" s="91"/>
      <c r="I3" s="1"/>
    </row>
    <row r="4" spans="1:9" ht="15" customHeight="1" x14ac:dyDescent="0.25">
      <c r="A4" s="1"/>
      <c r="B4" s="91"/>
      <c r="C4" s="91"/>
      <c r="D4" s="91"/>
      <c r="E4" s="91"/>
      <c r="F4" s="91"/>
      <c r="G4" s="91"/>
      <c r="H4" s="91"/>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2" t="s">
        <v>124</v>
      </c>
      <c r="C8" s="113"/>
      <c r="D8" s="113"/>
      <c r="E8" s="113"/>
      <c r="F8" s="113"/>
      <c r="G8" s="113"/>
      <c r="H8" s="114"/>
      <c r="I8" s="1"/>
    </row>
    <row r="9" spans="1:9" ht="15" customHeight="1" x14ac:dyDescent="0.25">
      <c r="A9" s="1"/>
      <c r="B9" s="104" t="s">
        <v>125</v>
      </c>
      <c r="C9" s="105"/>
      <c r="D9" s="105"/>
      <c r="E9" s="105"/>
      <c r="F9" s="105"/>
      <c r="G9" s="105"/>
      <c r="H9" s="106"/>
      <c r="I9" s="1"/>
    </row>
    <row r="10" spans="1:9" x14ac:dyDescent="0.25">
      <c r="A10" s="1"/>
      <c r="B10" s="109" t="s">
        <v>143</v>
      </c>
      <c r="C10" s="110"/>
      <c r="D10" s="110"/>
      <c r="E10" s="110"/>
      <c r="F10" s="111"/>
      <c r="G10" s="53">
        <v>0</v>
      </c>
      <c r="H10" s="8" t="s">
        <v>3</v>
      </c>
      <c r="I10" s="1"/>
    </row>
    <row r="11" spans="1:9" x14ac:dyDescent="0.25">
      <c r="A11" s="1"/>
      <c r="B11" s="109" t="s">
        <v>144</v>
      </c>
      <c r="C11" s="110"/>
      <c r="D11" s="110"/>
      <c r="E11" s="110"/>
      <c r="F11" s="111"/>
      <c r="G11" s="53">
        <v>0</v>
      </c>
      <c r="H11" s="8" t="s">
        <v>3</v>
      </c>
      <c r="I11" s="1"/>
    </row>
    <row r="12" spans="1:9" x14ac:dyDescent="0.25">
      <c r="A12" s="1"/>
      <c r="B12" s="109" t="s">
        <v>145</v>
      </c>
      <c r="C12" s="110"/>
      <c r="D12" s="110"/>
      <c r="E12" s="110"/>
      <c r="F12" s="111"/>
      <c r="G12" s="8">
        <v>0</v>
      </c>
      <c r="H12" s="8" t="s">
        <v>3</v>
      </c>
      <c r="I12" s="1"/>
    </row>
    <row r="13" spans="1:9" x14ac:dyDescent="0.25">
      <c r="A13" s="1"/>
      <c r="B13" s="109" t="s">
        <v>146</v>
      </c>
      <c r="C13" s="110"/>
      <c r="D13" s="110"/>
      <c r="E13" s="110"/>
      <c r="F13" s="111"/>
      <c r="G13" s="8">
        <v>0</v>
      </c>
      <c r="H13" s="8" t="s">
        <v>3</v>
      </c>
      <c r="I13" s="1"/>
    </row>
    <row r="14" spans="1:9" x14ac:dyDescent="0.25">
      <c r="A14" s="1"/>
      <c r="B14" s="109" t="s">
        <v>147</v>
      </c>
      <c r="C14" s="110"/>
      <c r="D14" s="110"/>
      <c r="E14" s="110"/>
      <c r="F14" s="111"/>
      <c r="G14" s="8">
        <v>0</v>
      </c>
      <c r="H14" s="8" t="s">
        <v>3</v>
      </c>
      <c r="I14" s="1"/>
    </row>
    <row r="15" spans="1:9" x14ac:dyDescent="0.25">
      <c r="A15" s="1"/>
      <c r="B15" s="109" t="s">
        <v>148</v>
      </c>
      <c r="C15" s="110"/>
      <c r="D15" s="110"/>
      <c r="E15" s="110"/>
      <c r="F15" s="111"/>
      <c r="G15" s="8">
        <v>0</v>
      </c>
      <c r="H15" s="8" t="s">
        <v>3</v>
      </c>
      <c r="I15" s="1"/>
    </row>
    <row r="16" spans="1:9" x14ac:dyDescent="0.25">
      <c r="A16" s="1"/>
      <c r="B16" s="109" t="s">
        <v>149</v>
      </c>
      <c r="C16" s="110"/>
      <c r="D16" s="110"/>
      <c r="E16" s="110"/>
      <c r="F16" s="111"/>
      <c r="G16" s="8">
        <v>0</v>
      </c>
      <c r="H16" s="8" t="s">
        <v>3</v>
      </c>
      <c r="I16" s="1"/>
    </row>
    <row r="17" spans="1:9" x14ac:dyDescent="0.25">
      <c r="A17" s="1"/>
      <c r="B17" s="109" t="s">
        <v>150</v>
      </c>
      <c r="C17" s="110"/>
      <c r="D17" s="110"/>
      <c r="E17" s="110"/>
      <c r="F17" s="111"/>
      <c r="G17" s="8">
        <v>0</v>
      </c>
      <c r="H17" s="8" t="s">
        <v>3</v>
      </c>
      <c r="I17" s="1"/>
    </row>
    <row r="18" spans="1:9" x14ac:dyDescent="0.25">
      <c r="A18" s="1"/>
      <c r="B18" s="112" t="s">
        <v>126</v>
      </c>
      <c r="C18" s="113"/>
      <c r="D18" s="113"/>
      <c r="E18" s="113"/>
      <c r="F18" s="114"/>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sheetData>
  <sheetProtection algorithmName="SHA-512" hashValue="KO+atCHgyo5ApabUofqXbRnJdJUSoTnCuTA1kfG/UsuoqMBGoPKyLfgI/FUQyVqEwU2pW7aP+RxufR2GXO6hOQ==" saltValue="WtUGIaqkK26QfCi4gCYwug==" spinCount="100000" sheet="1" objects="1" scenarios="1"/>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1. Forside</vt:lpstr>
      <vt:lpstr>Fane 2.1. Økonomisk ramme 2023</vt:lpstr>
      <vt:lpstr>Fane 2.2. Økonomisk ramme 2024</vt:lpstr>
      <vt:lpstr>Fane 2.3. Økonomisk ramme 2025</vt:lpstr>
      <vt:lpstr>Fane 2.4. Økonomisk ramme 2026</vt:lpstr>
      <vt:lpstr>Fane 3. Omkostninger i ØR2022</vt:lpstr>
      <vt:lpstr>Fane 4. Ikke-påvirkelige omk.</vt:lpstr>
      <vt:lpstr>Fane 5. Kontrol af ØR2021</vt:lpstr>
      <vt:lpstr>Fane 6. Skattesagen</vt:lpstr>
      <vt:lpstr>Fane 7. Anlægsprojekter (§ 19)</vt:lpstr>
      <vt:lpstr>Fane 8.1. Varige tillæg</vt:lpstr>
      <vt:lpstr>Fane 8.2. Engangstillæg</vt:lpstr>
      <vt:lpstr>Fane 9. Tilknyttet virksomhed</vt:lpstr>
      <vt:lpstr>Fane 10. Bortfald</vt:lpstr>
      <vt:lpstr>Fane 11.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Mads Frandsen</cp:lastModifiedBy>
  <cp:lastPrinted>2016-06-14T12:57:30Z</cp:lastPrinted>
  <dcterms:created xsi:type="dcterms:W3CDTF">2016-06-02T08:51:18Z</dcterms:created>
  <dcterms:modified xsi:type="dcterms:W3CDTF">2024-01-15T09:27:55Z</dcterms:modified>
</cp:coreProperties>
</file>