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FS Spildevand AS (S071)\ØR2024\"/>
    </mc:Choice>
  </mc:AlternateContent>
  <xr:revisionPtr revIDLastSave="0" documentId="13_ncr:1_{59CAE0E3-1BAA-4374-9A60-5913E1E488D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C19" i="2"/>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<sst xmlns="http://schemas.openxmlformats.org/spreadsheetml/2006/main" count="657" uniqueCount="292">
  <si>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</si>
  <si>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</si>
  <si>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</si>
  <si>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</si>
  <si>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</si>
  <si>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</si>
  <si>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</si>
  <si>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</si>
  <si>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</si>
  <si>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</si>
  <si>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</si>
  <si>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</si>
  <si>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</si>
  <si>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</si>
  <si>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</si>
  <si>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</si>
  <si>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</si>
  <si>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</si>
  <si>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</si>
  <si>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</si>
  <si>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</si>
  <si>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</si>
  <si>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</si>
  <si>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</si>
  <si>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</si>
  <si>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</si>
  <si>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</si>
  <si>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</si>
  <si>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</si>
  <si>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</si>
  <si>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</si>
  <si>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</si>
  <si>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</si>
  <si>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</si>
  <si>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</si>
  <si>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</si>
  <si>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</si>
  <si>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</si>
  <si>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</si>
  <si>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</si>
  <si>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</si>
  <si>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</si>
  <si>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</si>
  <si>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</si>
  <si>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</si>
  <si>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</si>
  <si>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</si>
  <si>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</si>
  <si>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</si>
  <si>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</si>
  <si>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</si>
  <si>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</si>
  <si>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</si>
  <si>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</si>
  <si>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</si>
  <si>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</si>
  <si>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</si>
  <si>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</si>
  <si>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</si>
  <si>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</si>
  <si>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</si>
  <si>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</si>
  <si>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</si>
  <si>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</si>
  <si>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</si>
  <si>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</si>
  <si>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</si>
  <si>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</si>
  <si>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</si>
  <si>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</si>
  <si>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</si>
  <si>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</si>
  <si>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</si>
  <si>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</si>
  <si>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</si>
  <si>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</si>
  <si>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</si>
  <si>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</si>
  <si>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</si>
  <si>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</si>
  <si>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</si>
  <si>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</si>
  <si>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</si>
  <si>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</si>
  <si>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</si>
  <si>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</si>
  <si>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</si>
  <si>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</si>
  <si>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</si>
  <si>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</si>
  <si>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</si>
  <si>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</si>
  <si>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</si>
  <si>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</si>
  <si>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</si>
  <si>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</si>
  <si>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</si>
  <si>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</si>
  <si>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</si>
  <si>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</si>
  <si>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</si>
  <si>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</si>
  <si>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</si>
  <si>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</si>
  <si>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</si>
  <si>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</si>
  <si>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</si>
  <si>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</si>
  <si>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</si>
  <si>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</si>
  <si>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</si>
  <si>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</si>
  <si>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</si>
  <si>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</si>
  <si>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</si>
  <si>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</si>
  <si>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</si>
  <si>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</si>
  <si>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</si>
  <si>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</si>
  <si>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</si>
  <si>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</si>
  <si>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</si>
  <si>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</si>
  <si>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</si>
  <si>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</si>
  <si>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</si>
  <si>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</si>
  <si>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</si>
  <si>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</si>
  <si>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</si>
  <si>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</si>
  <si>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</si>
  <si>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</si>
  <si>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</si>
  <si>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</si>
  <si>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</si>
  <si>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</si>
  <si>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</si>
  <si>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</si>
  <si>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</si>
  <si>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</si>
  <si>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</si>
  <si>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</si>
  <si>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</si>
  <si>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</si>
  <si>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</si>
  <si>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</si>
  <si>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</si>
  <si>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</si>
  <si>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</si>
  <si>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</si>
  <si>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</si>
  <si>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</si>
  <si>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</si>
  <si>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</si>
  <si>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</si>
  <si>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</si>
  <si>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</si>
  <si>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</si>
  <si>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</si>
  <si>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</si>
  <si>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</si>
  <si>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</si>
  <si>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</si>
  <si>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</si>
  <si>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</si>
  <si>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</si>
  <si>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</si>
  <si>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</si>
  <si>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</si>
  <si>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</si>
  <si>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</si>
  <si>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</si>
  <si>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</si>
  <si>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</si>
  <si>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</si>
  <si>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</si>
  <si>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</si>
  <si>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</si>
  <si>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</si>
  <si>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</si>
  <si>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</si>
  <si>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</si>
  <si>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</si>
  <si>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</si>
  <si>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</si>
  <si>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</si>
  <si>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</si>
  <si>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</si>
  <si>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</si>
  <si>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</si>
  <si>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</si>
  <si>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</si>
  <si>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</si>
  <si>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</si>
  <si>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</si>
  <si>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</si>
  <si>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</si>
  <si>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</si>
  <si>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</si>
  <si>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</si>
  <si>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</si>
  <si>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</si>
  <si>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</si>
  <si>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</si>
  <si>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</si>
  <si>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</si>
  <si>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</si>
  <si>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</si>
  <si>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</si>
  <si>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</si>
  <si>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</si>
  <si>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</si>
  <si>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</si>
  <si>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</si>
  <si>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</si>
  <si>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</si>
  <si>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</si>
  <si>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</si>
  <si>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</si>
  <si>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</si>
  <si>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</si>
  <si>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</si>
  <si>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</si>
  <si>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</si>
  <si>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</si>
  <si>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</si>
  <si>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</si>
  <si>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</si>
  <si>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</si>
  <si>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</si>
  <si>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</si>
  <si>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</si>
  <si>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</si>
  <si>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</si>
  <si>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</si>
  <si>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</si>
  <si>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</si>
  <si>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</si>
  <si>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</si>
  <si>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</si>
  <si>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</si>
  <si>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</si>
  <si>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</si>
  <si>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</si>
  <si>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</si>
  <si>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</si>
  <si>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</si>
  <si>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</si>
  <si>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</si>
  <si>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</si>
  <si>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</si>
  <si>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</si>
  <si>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</si>
  <si>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</si>
  <si>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</si>
  <si>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</si>
  <si>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</si>
  <si>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</si>
  <si>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</si>
  <si>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</si>
  <si>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</si>
  <si>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</si>
  <si>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</si>
  <si>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</si>
  <si>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</si>
  <si>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</si>
  <si>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</si>
  <si>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</si>
  <si>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</si>
  <si>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</si>
  <si>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</si>
  <si>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</si>
  <si>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</si>
  <si>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</si>
  <si>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</si>
  <si>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</si>
  <si>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</si>
  <si>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</si>
  <si>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</si>
  <si>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</si>
  <si>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</si>
  <si>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</si>
  <si>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</si>
  <si>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</si>
  <si>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</si>
  <si>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</si>
  <si>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Udvidelse af forsyningsområde</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</si>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</sst>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xcAdl6su0uyGkcS13b24kPu3HH94yKthTWLIxhJdT0EMp+n2UdrwUlujw+ne4KcWuPRc8NNEVfn80CLf9bSK6Q==" saltValue="11ObsjHTNaQoLuGQRZzGx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2035310</v>
      </c>
      <c r="D10" s="14" t="s">
        <v>3</v>
      </c>
      <c r="E10" s="1"/>
      <c r="F10" s="1"/>
    </row>
    <row r="11" spans="1:6" ht="15" customHeight="1" x14ac:dyDescent="0.25">
      <c r="A11" s="1"/>
      <c r="B11" s="81" t="s">
        <v>273</v>
      </c>
      <c r="C11" s="9">
        <v>94961</v>
      </c>
      <c r="D11" s="14" t="s">
        <v>3</v>
      </c>
      <c r="E11" s="1"/>
      <c r="F11" s="1"/>
    </row>
    <row r="12" spans="1:6" ht="26.25" x14ac:dyDescent="0.25">
      <c r="A12" s="1"/>
      <c r="B12" s="29" t="s">
        <v>274</v>
      </c>
      <c r="C12" s="9">
        <v>437900</v>
      </c>
      <c r="D12" s="14" t="s">
        <v>3</v>
      </c>
      <c r="E12" s="1"/>
      <c r="F12" s="1"/>
    </row>
    <row r="13" spans="1:6" x14ac:dyDescent="0.25">
      <c r="A13" s="1"/>
      <c r="B13" s="81" t="s">
        <v>275</v>
      </c>
      <c r="C13" s="9">
        <v>91809</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2659980</v>
      </c>
      <c r="D20" s="13" t="s">
        <v>3</v>
      </c>
      <c r="E20" s="1"/>
      <c r="F20" s="1"/>
    </row>
    <row r="21" spans="1:6" x14ac:dyDescent="0.25">
      <c r="A21" s="1"/>
      <c r="B21" s="33" t="s">
        <v>227</v>
      </c>
      <c r="C21" s="12">
        <f>C20*(1+'Fane 15. Nøgletal'!C16)^2</f>
        <v>3107198.8198271999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QD5QVefUmANOZl09SngAmUZB4XZT3JCCpj6KPpbewO5ygrS2yZGwHrzR0AUN6gTpzcMQtZhFkfUxAqlQgCPhBw==" saltValue="t8okz6+0n6/SLIAFMX9ot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D0D0-E82D-4D95-BB1C-50B750D9697E}">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276</v>
      </c>
      <c r="C9" s="121"/>
      <c r="D9" s="122"/>
      <c r="E9" s="9">
        <v>445114</v>
      </c>
      <c r="F9" s="14" t="s">
        <v>3</v>
      </c>
      <c r="G9" s="1"/>
    </row>
    <row r="10" spans="1:7" ht="15" customHeight="1" x14ac:dyDescent="0.25">
      <c r="A10" s="1"/>
      <c r="B10" s="120" t="s">
        <v>143</v>
      </c>
      <c r="C10" s="121"/>
      <c r="D10" s="122"/>
      <c r="E10" s="9">
        <v>-4082944</v>
      </c>
      <c r="F10" s="14" t="s">
        <v>3</v>
      </c>
      <c r="G10" s="1"/>
    </row>
    <row r="11" spans="1:7" ht="15" customHeight="1" x14ac:dyDescent="0.25">
      <c r="A11" s="1"/>
      <c r="B11" s="120" t="s">
        <v>277</v>
      </c>
      <c r="C11" s="121"/>
      <c r="D11" s="122"/>
      <c r="E11" s="9">
        <v>547427</v>
      </c>
      <c r="F11" s="14" t="s">
        <v>3</v>
      </c>
      <c r="G11" s="1"/>
    </row>
    <row r="12" spans="1:7" x14ac:dyDescent="0.25">
      <c r="A12" s="1"/>
      <c r="B12" s="33"/>
      <c r="C12" s="28"/>
      <c r="D12" s="28"/>
      <c r="E12" s="28"/>
      <c r="F12" s="19"/>
      <c r="G12" s="1"/>
    </row>
    <row r="13" spans="1:7" ht="42" customHeight="1" x14ac:dyDescent="0.25">
      <c r="A13" s="1"/>
      <c r="B13" s="114" t="s">
        <v>278</v>
      </c>
      <c r="C13" s="115"/>
      <c r="D13" s="115"/>
      <c r="E13" s="115"/>
      <c r="F13" s="116"/>
      <c r="G13" s="1"/>
    </row>
    <row r="14" spans="1:7" ht="15" customHeight="1" x14ac:dyDescent="0.25">
      <c r="A14" s="1"/>
      <c r="B14" s="1"/>
      <c r="C14" s="1"/>
      <c r="D14" s="1"/>
      <c r="E14" s="1"/>
      <c r="F14" s="1"/>
      <c r="G14" s="1"/>
    </row>
    <row r="15" spans="1:7" x14ac:dyDescent="0.25">
      <c r="A15" s="1"/>
      <c r="B15" s="75" t="s">
        <v>279</v>
      </c>
      <c r="C15" s="76"/>
      <c r="D15" s="76"/>
      <c r="E15" s="76"/>
      <c r="F15" s="77"/>
      <c r="G15" s="1"/>
    </row>
    <row r="16" spans="1:7" x14ac:dyDescent="0.25">
      <c r="A16" s="1"/>
      <c r="B16" s="78" t="s">
        <v>280</v>
      </c>
      <c r="C16" s="79"/>
      <c r="D16" s="80"/>
      <c r="E16" s="9">
        <f>IF(E11&lt;0,E11,0)</f>
        <v>0</v>
      </c>
      <c r="F16" s="14" t="s">
        <v>3</v>
      </c>
      <c r="G16" s="1"/>
    </row>
    <row r="17" spans="1:7" x14ac:dyDescent="0.25">
      <c r="A17" s="1"/>
      <c r="B17" s="78" t="s">
        <v>281</v>
      </c>
      <c r="C17" s="79"/>
      <c r="D17" s="80"/>
      <c r="E17" s="9">
        <f>IF(SUM(E10)&gt;0,SUM(E10),0)</f>
        <v>0</v>
      </c>
      <c r="F17" s="14" t="s">
        <v>3</v>
      </c>
      <c r="G17" s="1"/>
    </row>
    <row r="18" spans="1:7" x14ac:dyDescent="0.25">
      <c r="A18" s="1"/>
      <c r="B18" s="82" t="s">
        <v>282</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283</v>
      </c>
      <c r="C21" s="76"/>
      <c r="D21" s="76"/>
      <c r="E21" s="76"/>
      <c r="F21" s="77"/>
      <c r="G21" s="1"/>
    </row>
    <row r="22" spans="1:7" x14ac:dyDescent="0.25">
      <c r="A22" s="1"/>
      <c r="B22" s="78" t="s">
        <v>284</v>
      </c>
      <c r="C22" s="79"/>
      <c r="D22" s="80"/>
      <c r="E22" s="9">
        <v>66507223</v>
      </c>
      <c r="F22" s="14" t="s">
        <v>3</v>
      </c>
      <c r="G22" s="1"/>
    </row>
    <row r="23" spans="1:7" x14ac:dyDescent="0.25">
      <c r="A23" s="1"/>
      <c r="B23" s="78" t="s">
        <v>285</v>
      </c>
      <c r="C23" s="79"/>
      <c r="D23" s="80"/>
      <c r="E23" s="9">
        <v>64931188</v>
      </c>
      <c r="F23" s="14" t="s">
        <v>3</v>
      </c>
      <c r="G23" s="1"/>
    </row>
    <row r="24" spans="1:7" x14ac:dyDescent="0.25">
      <c r="A24" s="1"/>
      <c r="B24" s="78" t="s">
        <v>30</v>
      </c>
      <c r="C24" s="79"/>
      <c r="D24" s="80"/>
      <c r="E24" s="9">
        <v>0</v>
      </c>
      <c r="F24" s="14" t="s">
        <v>3</v>
      </c>
      <c r="G24" s="1"/>
    </row>
    <row r="25" spans="1:7" x14ac:dyDescent="0.25">
      <c r="A25" s="1"/>
      <c r="B25" s="82" t="s">
        <v>286</v>
      </c>
      <c r="C25" s="83"/>
      <c r="D25" s="84"/>
      <c r="E25" s="62">
        <f>E22-E23-E24</f>
        <v>1576035</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287</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QcJHL8cnrTkLavqOiPowSBLe/iR4KvhSGbWapGDmH48+ZY1yuaf3pkLo6AQy3kiCEUXnAXSbo/0/qEgGxknwTQ==" saltValue="y15Ra1t3dJmkSRM7tUJnV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l1FrTzPmq7N0Jc6lGKPawc95VKAKWzUKBN5M/1MOp0rTd5Bq8ZPSvwGy44pl7qjFfJWy04wFhiCxrFL4I6WuA==" saltValue="naOfAy2heMPZ5UOww4v/V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1637432.6190796671</v>
      </c>
      <c r="F10" s="8" t="s">
        <v>3</v>
      </c>
      <c r="G10" s="1"/>
    </row>
    <row r="11" spans="1:7" x14ac:dyDescent="0.25">
      <c r="A11" s="1"/>
      <c r="B11" s="120" t="s">
        <v>229</v>
      </c>
      <c r="C11" s="121"/>
      <c r="D11" s="122"/>
      <c r="E11" s="7">
        <v>1386144</v>
      </c>
      <c r="F11" s="8" t="s">
        <v>3</v>
      </c>
      <c r="G11" s="1"/>
    </row>
    <row r="12" spans="1:7" x14ac:dyDescent="0.25">
      <c r="A12" s="1"/>
      <c r="B12" s="135" t="s">
        <v>83</v>
      </c>
      <c r="C12" s="136"/>
      <c r="D12" s="137"/>
      <c r="E12" s="10">
        <f>E11-E10</f>
        <v>-251288.61907966714</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-251288.61907966714</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IO9IpXal+UEtnw9pduiUywqstXFhHkV8k5ZGj59nhB03iksSfHc+Zl9RJ190XVUdkLJxjV8LB3dAOW8zrMydw==" saltValue="1AZ9v81iW5FK6sZnmMmBO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davmMdHCv2XgbPcpdinhZKmLErwXWN4EhDe0oH8n0wiRXrOH3uI6OreT2zagMR3R2iH6BPbkzCvVOBC9fogJLw==" saltValue="yfzmGYgGa0Sju6NhaqE4A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96045</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96045</v>
      </c>
      <c r="D19" s="13" t="s">
        <v>3</v>
      </c>
      <c r="E19" s="12">
        <f>SUM(E10:E18)</f>
        <v>0</v>
      </c>
      <c r="F19" s="13" t="s">
        <v>3</v>
      </c>
      <c r="G19" s="1"/>
    </row>
    <row r="20" spans="1:7" x14ac:dyDescent="0.25">
      <c r="A20" s="1"/>
      <c r="B20" s="33" t="s">
        <v>233</v>
      </c>
      <c r="C20" s="12">
        <f>C19*(1+'Fane 15. Nøgletal'!C16)</f>
        <v>103805.436</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1v91BYEZJn3cIUzL5h4cDKIouszEpXh6eSmbvlbpp1sSB5lx8MlG+sf/4w3DGdgUvBzFlcbCUJvQ0EMGkX4/w==" saltValue="QiyAWTtyP/1pMXO/HhpYE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289</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uW6QkUE4fLMme545K7+ulwRZyUBd39r9uuMWpaJJ9q3fp+jI/PFBaRAi+16TG+jTA3UaSpmd7tHQfT6LjYB8Q==" saltValue="382aYIIxO8llYf7QmkH2Y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1695880.3561133139</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-33917.607122266279</v>
      </c>
      <c r="F12" s="14" t="s">
        <v>3</v>
      </c>
      <c r="G12" s="1"/>
    </row>
    <row r="13" spans="1:7" x14ac:dyDescent="0.25">
      <c r="A13" s="1"/>
      <c r="B13" s="117" t="s">
        <v>111</v>
      </c>
      <c r="C13" s="118"/>
      <c r="D13" s="119"/>
      <c r="E13" s="12">
        <f>SUM(E10:E12)*(1+'Fane 15. Nøgletal'!C16)^2</f>
        <v>1941386.2857095739</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DKuTlAl8790RGIfUHAygYRJF2kFnwN3SIKvh3czQMwKZRoBBVrOi6z2Za1xi/pHpcx8BVKVFnKLemXAtd7CeQ==" saltValue="qxI8qCdf6nt169Wc9qyHh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SgCi8rW39HRIz7O7NlCeGsRDwx4xwVRDJVYkTZ3jA9NU0euhR9LS9K/4KotzKF5uGDMXN7LV9PmvoxOXm7ZeRg==" saltValue="C1Y+KE0Faz+vmCmZkuRrA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UNlITJOLy+CewHQ1uDN+6Rs2kfnoIJqlVYDntJkTvLHkZ0ZhhXP5Jt4EnHk5/nWpvlZFLTpmWtPHkAJq4riDg==" saltValue="xqV+uk0PqF+/8AZ+4zESN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59499751.515524164</v>
      </c>
      <c r="D9" s="8" t="s">
        <v>3</v>
      </c>
      <c r="E9" s="1"/>
    </row>
    <row r="10" spans="1:5" ht="17.25" customHeight="1" x14ac:dyDescent="0.25">
      <c r="A10" s="1"/>
      <c r="B10" s="88" t="s">
        <v>36</v>
      </c>
      <c r="C10" s="7">
        <f>'Fane 11.1. Varige tillæg'!C20</f>
        <v>103805.436</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4815967.4016831527</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-514137.44233532529</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63905386.91087199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3107198.8198271999</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1941386.2857095739</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-251288.61907966714</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290</v>
      </c>
      <c r="C37" s="28"/>
      <c r="D37" s="19"/>
      <c r="E37" s="1"/>
    </row>
    <row r="38" spans="1:5" x14ac:dyDescent="0.25">
      <c r="A38" s="1"/>
      <c r="B38" s="70" t="s">
        <v>291</v>
      </c>
      <c r="C38" s="10">
        <v>2813909.0619650232</v>
      </c>
      <c r="D38" s="11" t="s">
        <v>3</v>
      </c>
      <c r="E38" s="1"/>
    </row>
    <row r="39" spans="1:5" x14ac:dyDescent="0.25">
      <c r="A39" s="1"/>
      <c r="B39" s="33" t="s">
        <v>108</v>
      </c>
      <c r="C39" s="49">
        <f>SUM(C34,C32,C24,C30,C22,C20,C36,C38)</f>
        <v>71516592.459294111</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2KioxwrTSSKbH3v0bJbOQtqhJiTOiBqSDA6IGBrgG2yiXsSgwbY533eEG36VdI3YDX6/bIX/i0ZG/j/jkt4XNA==" saltValue="nwHydQXrOZpTCBKCq8Nb9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wS5bKHRS/zJBelc4eaK8QuCwA8TeJPNM/cyiyV1m17Jqrryyp/0E5O+45CHW1TMdrsM9Yc8hMHfSaDi4KshvzA==" saltValue="MqP6tMwRKdi0BKq3MdYNZ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63905386.91087199</v>
      </c>
      <c r="D9" s="8" t="s">
        <v>3</v>
      </c>
      <c r="E9" s="1"/>
    </row>
    <row r="10" spans="1:5" ht="15" customHeight="1" x14ac:dyDescent="0.25">
      <c r="A10" s="1"/>
      <c r="B10" s="26" t="s">
        <v>19</v>
      </c>
      <c r="C10" s="7">
        <f>SUM(C9:C9)*'Fane 15. Nøgletal'!C16</f>
        <v>5163555.2623984562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-544566.1527224991</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68524376.020547956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3358260.4844692377</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71882636.505017191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6ZRG2qfU0+oB27I3KdR6cjuGalwoX72KO17Zwdu6vJ6QTvmmE6D1ARiuZ/u4OWtdRRe9KgiGpteLdb2LdC+pg==" saltValue="eTdWVqEHUybdlVs4Bnjvy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68524376.020547956</v>
      </c>
      <c r="D9" s="8" t="s">
        <v>3</v>
      </c>
      <c r="E9" s="1"/>
    </row>
    <row r="10" spans="1:5" ht="15" customHeight="1" x14ac:dyDescent="0.25">
      <c r="A10" s="1"/>
      <c r="B10" s="26" t="s">
        <v>19</v>
      </c>
      <c r="C10" s="7">
        <f>SUM(C9:C9)*'Fane 15. Nøgletal'!C16</f>
        <v>5536769.5824602749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-576795.7559052275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73484349.847103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3629607.9316143519</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77113957.778717354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I3QidhEgbv1ut7yksrfgr9qdx66YUNq9dKwTOj32WxOBF1WZSkA2zHN99P2ltGOHhQiAdR31B9ogNTomMuOgw==" saltValue="TJjWuv+VBXEZ7kbtErqbL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73484349.847103</v>
      </c>
      <c r="D9" s="8" t="s">
        <v>3</v>
      </c>
      <c r="E9" s="1"/>
      <c r="F9" s="1"/>
    </row>
    <row r="10" spans="1:6" ht="15" customHeight="1" x14ac:dyDescent="0.25">
      <c r="A10" s="1"/>
      <c r="B10" s="26" t="s">
        <v>19</v>
      </c>
      <c r="C10" s="7">
        <f>SUM(C9:C9)*'Fane 15. Nøgletal'!C16</f>
        <v>5937535.4676459217</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-610932.83592272259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78810952.47882621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3922880.2524887915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82733832.731315002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05Q5H8zNdTDsocMGxbHCSkHOc6JNKSZcKXUvMiChoaGqqnBqtXZYSnxDqjxCTKv7v4SINIidso+QGnsXS8JXQg==" saltValue="vwHpPjk9UvuCLvINQzKZM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60073577.064013585</v>
      </c>
      <c r="D9" s="8" t="s">
        <v>3</v>
      </c>
      <c r="E9" s="1"/>
    </row>
    <row r="10" spans="1:5" x14ac:dyDescent="0.25">
      <c r="A10" s="1"/>
      <c r="B10" s="88" t="s">
        <v>36</v>
      </c>
      <c r="C10" s="7">
        <v>228131.28840000002</v>
      </c>
      <c r="D10" s="8" t="s">
        <v>3</v>
      </c>
      <c r="E10" s="1"/>
    </row>
    <row r="11" spans="1:5" x14ac:dyDescent="0.25">
      <c r="A11" s="1"/>
      <c r="B11" s="88" t="s">
        <v>37</v>
      </c>
      <c r="C11" s="9">
        <v>0</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206364.27817828485</v>
      </c>
      <c r="D16" s="8" t="s">
        <v>3</v>
      </c>
      <c r="E16" s="1"/>
    </row>
    <row r="17" spans="1:5" x14ac:dyDescent="0.25">
      <c r="A17" s="1"/>
      <c r="B17" s="88" t="s">
        <v>10</v>
      </c>
      <c r="C17" s="41">
        <v>0</v>
      </c>
      <c r="D17" s="8" t="s">
        <v>3</v>
      </c>
      <c r="E17" s="1"/>
    </row>
    <row r="18" spans="1:5" x14ac:dyDescent="0.25">
      <c r="A18" s="1"/>
      <c r="B18" s="88" t="s">
        <v>23</v>
      </c>
      <c r="C18" s="41">
        <v>-483290.51801268646</v>
      </c>
      <c r="D18" s="8" t="s">
        <v>3</v>
      </c>
      <c r="E18" s="1"/>
    </row>
    <row r="19" spans="1:5" x14ac:dyDescent="0.25">
      <c r="A19" s="1"/>
      <c r="B19" s="88" t="s">
        <v>24</v>
      </c>
      <c r="C19" s="41">
        <v>-525030.59705501469</v>
      </c>
      <c r="D19" s="8" t="s">
        <v>3</v>
      </c>
      <c r="E19" s="47"/>
    </row>
    <row r="20" spans="1:5" x14ac:dyDescent="0.25">
      <c r="A20" s="1"/>
      <c r="B20" s="82" t="s">
        <v>21</v>
      </c>
      <c r="C20" s="10">
        <v>59499751.515524164</v>
      </c>
      <c r="D20" s="11" t="s">
        <v>3</v>
      </c>
      <c r="E20" s="1"/>
    </row>
    <row r="21" spans="1:5" x14ac:dyDescent="0.25">
      <c r="A21" s="1"/>
      <c r="B21" s="33" t="s">
        <v>12</v>
      </c>
      <c r="C21" s="28"/>
      <c r="D21" s="19"/>
      <c r="E21" s="1"/>
    </row>
    <row r="22" spans="1:5" x14ac:dyDescent="0.25">
      <c r="A22" s="1"/>
      <c r="B22" s="31" t="s">
        <v>12</v>
      </c>
      <c r="C22" s="10">
        <v>2848473.30816</v>
      </c>
      <c r="D22" s="11" t="s">
        <v>3</v>
      </c>
      <c r="E22" s="1"/>
    </row>
    <row r="23" spans="1:5" x14ac:dyDescent="0.25">
      <c r="A23" s="1"/>
      <c r="B23" s="33" t="s">
        <v>74</v>
      </c>
      <c r="C23" s="28"/>
      <c r="D23" s="19"/>
      <c r="E23" s="1"/>
    </row>
    <row r="24" spans="1:5" x14ac:dyDescent="0.25">
      <c r="A24" s="1"/>
      <c r="B24" s="82" t="s">
        <v>74</v>
      </c>
      <c r="C24" s="10">
        <v>1761720.0294329622</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61867.858714692295</v>
      </c>
      <c r="D32" s="11" t="s">
        <v>3</v>
      </c>
      <c r="E32" s="1"/>
    </row>
    <row r="33" spans="1:5" x14ac:dyDescent="0.25">
      <c r="A33" s="1"/>
      <c r="B33" s="33" t="s">
        <v>266</v>
      </c>
      <c r="C33" s="28"/>
      <c r="D33" s="19"/>
      <c r="E33" s="1"/>
    </row>
    <row r="34" spans="1:5" x14ac:dyDescent="0.25">
      <c r="A34" s="1"/>
      <c r="B34" s="31" t="s">
        <v>266</v>
      </c>
      <c r="C34" s="10">
        <v>-1304604.5674489408</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62867208.144382879</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SpzCkowUwY/vAGY2OM4K9PlhWc3ueN5ui+oqBn+yYVi6d/d9gnp6BXrmpIPsW6cGNC7zlBwyLc+IomPpM9H+g==" saltValue="FNhQTAocYM+KNmO3zsGBo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24090389.363550268</v>
      </c>
      <c r="H5" s="14" t="s">
        <v>3</v>
      </c>
      <c r="I5" s="1"/>
    </row>
    <row r="6" spans="1:9" x14ac:dyDescent="0.25">
      <c r="A6" s="1"/>
      <c r="B6" s="114" t="s">
        <v>102</v>
      </c>
      <c r="C6" s="115"/>
      <c r="D6" s="115"/>
      <c r="E6" s="115"/>
      <c r="F6" s="116"/>
      <c r="G6" s="66">
        <v>1180823</v>
      </c>
      <c r="H6" s="14" t="s">
        <v>3</v>
      </c>
      <c r="I6" s="1"/>
    </row>
    <row r="7" spans="1:9" x14ac:dyDescent="0.25">
      <c r="A7" s="1"/>
      <c r="B7" s="120" t="s">
        <v>39</v>
      </c>
      <c r="C7" s="121"/>
      <c r="D7" s="121"/>
      <c r="E7" s="121"/>
      <c r="F7" s="122"/>
      <c r="G7" s="23">
        <f>SUM(G5:G6)*'Fane 15. Nøgletal'!C33</f>
        <v>505424.24727100536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23997702.00581415</v>
      </c>
      <c r="H11" s="14" t="s">
        <v>3</v>
      </c>
      <c r="I11" s="1"/>
    </row>
    <row r="12" spans="1:9" ht="15" customHeight="1" x14ac:dyDescent="0.25">
      <c r="A12" s="1"/>
      <c r="B12" s="120" t="s">
        <v>103</v>
      </c>
      <c r="C12" s="121"/>
      <c r="D12" s="121"/>
      <c r="E12" s="121"/>
      <c r="F12" s="122"/>
      <c r="G12" s="66">
        <v>539.27251202559103</v>
      </c>
      <c r="H12" s="14" t="s">
        <v>3</v>
      </c>
      <c r="I12" s="1"/>
    </row>
    <row r="13" spans="1:9" x14ac:dyDescent="0.25">
      <c r="A13" s="1"/>
      <c r="B13" s="114" t="s">
        <v>100</v>
      </c>
      <c r="C13" s="115"/>
      <c r="D13" s="115"/>
      <c r="E13" s="115"/>
      <c r="F13" s="116"/>
      <c r="G13" s="66">
        <v>1525017.8075000001</v>
      </c>
      <c r="H13" s="14" t="s">
        <v>3</v>
      </c>
      <c r="I13" s="1"/>
    </row>
    <row r="14" spans="1:9" x14ac:dyDescent="0.25">
      <c r="A14" s="1"/>
      <c r="B14" s="123" t="s">
        <v>244</v>
      </c>
      <c r="C14" s="124"/>
      <c r="D14" s="124"/>
      <c r="E14" s="124"/>
      <c r="F14" s="125"/>
      <c r="G14" s="66">
        <v>23564.605556250001</v>
      </c>
      <c r="H14" s="14" t="s">
        <v>3</v>
      </c>
      <c r="I14" s="1"/>
    </row>
    <row r="15" spans="1:9" x14ac:dyDescent="0.25">
      <c r="A15" s="1"/>
      <c r="B15" s="120" t="s">
        <v>41</v>
      </c>
      <c r="C15" s="121"/>
      <c r="D15" s="121"/>
      <c r="E15" s="121"/>
      <c r="F15" s="122"/>
      <c r="G15" s="23">
        <f>SUM(G11:G14)*'Fane 15. Nøgletal'!C33</f>
        <v>510936.47382764856</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23922309.624730736</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478446.19249461475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23905707.541851174</v>
      </c>
      <c r="H25" s="14" t="s">
        <v>3</v>
      </c>
      <c r="I25" s="1"/>
    </row>
    <row r="26" spans="1:9" x14ac:dyDescent="0.25">
      <c r="A26" s="1"/>
      <c r="B26" s="123" t="s">
        <v>246</v>
      </c>
      <c r="C26" s="124"/>
      <c r="D26" s="124"/>
      <c r="E26" s="124"/>
      <c r="F26" s="125"/>
      <c r="G26" s="66">
        <v>153692.11737098999</v>
      </c>
      <c r="H26" s="14" t="s">
        <v>3</v>
      </c>
      <c r="I26" s="1"/>
    </row>
    <row r="27" spans="1:9" x14ac:dyDescent="0.25">
      <c r="A27" s="1"/>
      <c r="B27" s="120" t="s">
        <v>45</v>
      </c>
      <c r="C27" s="121"/>
      <c r="D27" s="121"/>
      <c r="E27" s="121"/>
      <c r="F27" s="122"/>
      <c r="G27" s="23">
        <f>(G25+G26)*'Fane 15. Nøgletal'!C33</f>
        <v>481187.99318444327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24042702.435858663</v>
      </c>
      <c r="H31" s="14" t="s">
        <v>3</v>
      </c>
      <c r="I31" s="1"/>
    </row>
    <row r="32" spans="1:9" x14ac:dyDescent="0.25">
      <c r="A32" s="1"/>
      <c r="B32" s="120" t="s">
        <v>243</v>
      </c>
      <c r="C32" s="121"/>
      <c r="D32" s="121"/>
      <c r="E32" s="121"/>
      <c r="F32" s="122"/>
      <c r="G32" s="63">
        <v>248848.56955223999</v>
      </c>
      <c r="H32" s="14" t="s">
        <v>3</v>
      </c>
      <c r="I32" s="1"/>
    </row>
    <row r="33" spans="1:9" x14ac:dyDescent="0.25">
      <c r="A33" s="1"/>
      <c r="B33" s="120" t="s">
        <v>54</v>
      </c>
      <c r="C33" s="121"/>
      <c r="D33" s="121"/>
      <c r="E33" s="121"/>
      <c r="F33" s="122"/>
      <c r="G33" s="23">
        <f>(G31+G32)*'Fane 15. Nøgletal'!C33</f>
        <v>485831.02010821807</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23884278.861254185</v>
      </c>
      <c r="H37" s="14" t="s">
        <v>3</v>
      </c>
      <c r="I37" s="1"/>
    </row>
    <row r="38" spans="1:9" x14ac:dyDescent="0.25">
      <c r="A38" s="1"/>
      <c r="B38" s="120" t="s">
        <v>242</v>
      </c>
      <c r="C38" s="121"/>
      <c r="D38" s="121"/>
      <c r="E38" s="121"/>
      <c r="F38" s="122"/>
      <c r="G38" s="63">
        <v>452016.60693272005</v>
      </c>
      <c r="H38" s="14" t="s">
        <v>3</v>
      </c>
      <c r="I38" s="1"/>
    </row>
    <row r="39" spans="1:9" x14ac:dyDescent="0.25">
      <c r="A39" s="1"/>
      <c r="B39" s="120" t="s">
        <v>128</v>
      </c>
      <c r="C39" s="121"/>
      <c r="D39" s="121"/>
      <c r="E39" s="121"/>
      <c r="F39" s="122"/>
      <c r="G39" s="23">
        <f>(G37+G38)*'Fane 15. Nøgletal'!C33</f>
        <v>486725.90936373809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23928273.138367284</v>
      </c>
      <c r="H43" s="14" t="s">
        <v>3</v>
      </c>
      <c r="I43" s="1"/>
    </row>
    <row r="44" spans="1:9" x14ac:dyDescent="0.25">
      <c r="A44" s="1"/>
      <c r="B44" s="126" t="s">
        <v>157</v>
      </c>
      <c r="C44" s="127"/>
      <c r="D44" s="127"/>
      <c r="E44" s="127"/>
      <c r="F44" s="128"/>
      <c r="G44" s="45">
        <v>236252.76226704003</v>
      </c>
      <c r="H44" s="14" t="s">
        <v>3</v>
      </c>
      <c r="I44" s="1"/>
    </row>
    <row r="45" spans="1:9" x14ac:dyDescent="0.25">
      <c r="A45" s="1"/>
      <c r="B45" s="120" t="s">
        <v>129</v>
      </c>
      <c r="C45" s="121"/>
      <c r="D45" s="121"/>
      <c r="E45" s="121"/>
      <c r="F45" s="122"/>
      <c r="G45" s="23">
        <f>SUM(G43:G44)*'Fane 15. Nøgletal'!C33</f>
        <v>483290.51801268646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25594679.201537464</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112192.9152288</v>
      </c>
      <c r="H53" s="14" t="s">
        <v>3</v>
      </c>
      <c r="I53" s="1"/>
    </row>
    <row r="54" spans="1:9" x14ac:dyDescent="0.25">
      <c r="A54" s="1"/>
      <c r="B54" s="120" t="s">
        <v>210</v>
      </c>
      <c r="C54" s="121"/>
      <c r="D54" s="121"/>
      <c r="E54" s="121"/>
      <c r="F54" s="122"/>
      <c r="G54" s="23">
        <f>(G52)*'Fane 15. Nøgletal'!C33+(G53)*'Fane 15. Nøgletal'!C33</f>
        <v>514137.44233532529</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27228307.636124957</v>
      </c>
      <c r="H58" s="14" t="s">
        <v>3</v>
      </c>
      <c r="I58" s="1"/>
    </row>
    <row r="59" spans="1:9" x14ac:dyDescent="0.25">
      <c r="A59" s="1"/>
      <c r="B59" s="78" t="s">
        <v>211</v>
      </c>
      <c r="C59" s="79"/>
      <c r="D59" s="79"/>
      <c r="E59" s="79"/>
      <c r="F59" s="80"/>
      <c r="G59" s="23">
        <f>(G58)*'Fane 15. Nøgletal'!C33</f>
        <v>544566.1527224991</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28839787.795261376</v>
      </c>
      <c r="H63" s="14" t="s">
        <v>3</v>
      </c>
      <c r="I63" s="1"/>
    </row>
    <row r="64" spans="1:9" x14ac:dyDescent="0.25">
      <c r="A64" s="1"/>
      <c r="B64" s="78" t="s">
        <v>214</v>
      </c>
      <c r="C64" s="79"/>
      <c r="D64" s="79"/>
      <c r="E64" s="79"/>
      <c r="F64" s="80"/>
      <c r="G64" s="23">
        <f>(G63)*'Fane 15. Nøgletal'!C33</f>
        <v>576795.7559052275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30546641.796136126</v>
      </c>
      <c r="H68" s="14" t="s">
        <v>3</v>
      </c>
      <c r="I68" s="1"/>
    </row>
    <row r="69" spans="1:9" x14ac:dyDescent="0.25">
      <c r="A69" s="1"/>
      <c r="B69" s="78" t="s">
        <v>214</v>
      </c>
      <c r="C69" s="79"/>
      <c r="D69" s="79"/>
      <c r="E69" s="79"/>
      <c r="F69" s="80"/>
      <c r="G69" s="23">
        <f>(G68)*'Fane 15. Nøgletal'!C33</f>
        <v>610932.83592272259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xnxbKExkDIzPBZXzBel/gag+4IYG3M1wBd4VAlEKj081bJ+DPPExuV2w3smHa2VrrdANqEZYNAg+yh8b52dgfA==" saltValue="4fRwKHBAzCCBlNh1BN0/0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36268191.61457736</v>
      </c>
      <c r="H5" s="14" t="s">
        <v>3</v>
      </c>
      <c r="I5" s="1"/>
    </row>
    <row r="6" spans="1:9" x14ac:dyDescent="0.25">
      <c r="A6" s="1"/>
      <c r="B6" s="120" t="s">
        <v>51</v>
      </c>
      <c r="C6" s="121"/>
      <c r="D6" s="121"/>
      <c r="E6" s="121"/>
      <c r="F6" s="122"/>
      <c r="G6" s="23">
        <f>G5*'Fane 15. Nøgletal'!C21</f>
        <v>330040.543692654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36567068.714625187</v>
      </c>
      <c r="H10" s="14" t="s">
        <v>3</v>
      </c>
      <c r="I10" s="1"/>
    </row>
    <row r="11" spans="1:9" x14ac:dyDescent="0.25">
      <c r="A11" s="1"/>
      <c r="B11" s="120" t="s">
        <v>104</v>
      </c>
      <c r="C11" s="121"/>
      <c r="D11" s="121"/>
      <c r="E11" s="121"/>
      <c r="F11" s="122"/>
      <c r="G11" s="63">
        <v>308921.30720866914</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652705.02338645933</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36857192.485920236</v>
      </c>
      <c r="H17" s="14" t="s">
        <v>3</v>
      </c>
      <c r="I17" s="1"/>
    </row>
    <row r="18" spans="1:9" x14ac:dyDescent="0.25">
      <c r="A18" s="1"/>
      <c r="B18" s="123" t="s">
        <v>248</v>
      </c>
      <c r="C18" s="124"/>
      <c r="D18" s="124"/>
      <c r="E18" s="124"/>
      <c r="F18" s="125"/>
      <c r="G18" s="63">
        <v>56739.243335089988</v>
      </c>
      <c r="H18" s="14" t="s">
        <v>3</v>
      </c>
      <c r="I18" s="1"/>
    </row>
    <row r="19" spans="1:9" x14ac:dyDescent="0.25">
      <c r="A19" s="1"/>
      <c r="B19" s="120" t="s">
        <v>61</v>
      </c>
      <c r="C19" s="121"/>
      <c r="D19" s="121"/>
      <c r="E19" s="121"/>
      <c r="F19" s="122"/>
      <c r="G19" s="23">
        <f>G17*'Fane 15. Nøgletal'!C22+G18*'Fane 15. Nøgletal'!C23</f>
        <v>652865.9384178035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36975408.786917031</v>
      </c>
      <c r="H23" s="14" t="s">
        <v>3</v>
      </c>
      <c r="I23" s="1"/>
    </row>
    <row r="24" spans="1:9" x14ac:dyDescent="0.25">
      <c r="A24" s="1"/>
      <c r="B24" s="123" t="s">
        <v>249</v>
      </c>
      <c r="C24" s="124"/>
      <c r="D24" s="124"/>
      <c r="E24" s="124"/>
      <c r="F24" s="125"/>
      <c r="G24" s="63">
        <v>166990.96531192798</v>
      </c>
      <c r="H24" s="14" t="s">
        <v>3</v>
      </c>
      <c r="I24" s="1"/>
    </row>
    <row r="25" spans="1:9" x14ac:dyDescent="0.25">
      <c r="A25" s="1"/>
      <c r="B25" s="120" t="s">
        <v>64</v>
      </c>
      <c r="C25" s="121"/>
      <c r="D25" s="121"/>
      <c r="E25" s="121"/>
      <c r="F25" s="122"/>
      <c r="G25" s="23">
        <f>(G23+G24)*'Fane 15. Nøgletal'!C24</f>
        <v>1054844.1529633026</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36798480.44457119</v>
      </c>
      <c r="H29" s="14" t="s">
        <v>3</v>
      </c>
      <c r="I29" s="1"/>
    </row>
    <row r="30" spans="1:9" x14ac:dyDescent="0.25">
      <c r="A30" s="1"/>
      <c r="B30" s="120" t="s">
        <v>250</v>
      </c>
      <c r="C30" s="121"/>
      <c r="D30" s="121"/>
      <c r="E30" s="121"/>
      <c r="F30" s="122"/>
      <c r="G30" s="63">
        <v>18584.29140876</v>
      </c>
      <c r="H30" s="14" t="s">
        <v>3</v>
      </c>
      <c r="I30" s="1"/>
    </row>
    <row r="31" spans="1:9" x14ac:dyDescent="0.25">
      <c r="A31" s="1"/>
      <c r="B31" s="120" t="s">
        <v>67</v>
      </c>
      <c r="C31" s="121"/>
      <c r="D31" s="121"/>
      <c r="E31" s="121"/>
      <c r="F31" s="122"/>
      <c r="G31" s="23">
        <f>G29*'Fane 15. Nøgletal'!C24+G30*'Fane 15. Nøgletal'!C25</f>
        <v>1045587.9126395627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35889522.696857415</v>
      </c>
      <c r="H35" s="14" t="s">
        <v>3</v>
      </c>
      <c r="I35" s="1"/>
    </row>
    <row r="36" spans="1:9" x14ac:dyDescent="0.25">
      <c r="A36" s="1"/>
      <c r="B36" s="120" t="s">
        <v>251</v>
      </c>
      <c r="C36" s="121"/>
      <c r="D36" s="121"/>
      <c r="E36" s="121"/>
      <c r="F36" s="122"/>
      <c r="G36" s="63">
        <v>0</v>
      </c>
      <c r="H36" s="14" t="s">
        <v>3</v>
      </c>
      <c r="I36" s="1"/>
    </row>
    <row r="37" spans="1:9" x14ac:dyDescent="0.25">
      <c r="A37" s="1"/>
      <c r="B37" s="120" t="s">
        <v>131</v>
      </c>
      <c r="C37" s="121"/>
      <c r="D37" s="121"/>
      <c r="E37" s="121"/>
      <c r="F37" s="122"/>
      <c r="G37" s="23">
        <f>(G35+G36)*'Fane 15. Nøgletal'!C26</f>
        <v>531164.93591348978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35475040.341555044</v>
      </c>
      <c r="H41" s="14" t="s">
        <v>3</v>
      </c>
      <c r="I41" s="1"/>
    </row>
    <row r="42" spans="1:9" x14ac:dyDescent="0.25">
      <c r="A42" s="1"/>
      <c r="B42" s="40" t="s">
        <v>156</v>
      </c>
      <c r="C42" s="79"/>
      <c r="D42" s="79"/>
      <c r="E42" s="79"/>
      <c r="F42" s="80"/>
      <c r="G42" s="63">
        <v>0</v>
      </c>
      <c r="H42" s="14" t="s">
        <v>3</v>
      </c>
      <c r="I42" s="1"/>
    </row>
    <row r="43" spans="1:9" x14ac:dyDescent="0.25">
      <c r="A43" s="1"/>
      <c r="B43" s="120" t="s">
        <v>132</v>
      </c>
      <c r="C43" s="121"/>
      <c r="D43" s="121"/>
      <c r="E43" s="121"/>
      <c r="F43" s="122"/>
      <c r="G43" s="23">
        <f>(G41)*'Fane 15. Nøgletal'!C26+G42*'Fane 15. Nøgletal'!C27</f>
        <v>525030.59705501469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37773970.531855628</v>
      </c>
      <c r="H53" s="14" t="s">
        <v>3</v>
      </c>
      <c r="I53" s="1"/>
    </row>
    <row r="54" spans="1:9" x14ac:dyDescent="0.25">
      <c r="A54" s="1"/>
      <c r="B54" s="78" t="s">
        <v>195</v>
      </c>
      <c r="C54" s="79"/>
      <c r="D54" s="79"/>
      <c r="E54" s="79"/>
      <c r="F54" s="80"/>
      <c r="G54" s="63">
        <v>0</v>
      </c>
      <c r="H54" s="14" t="s">
        <v>3</v>
      </c>
      <c r="I54" s="1"/>
    </row>
    <row r="55" spans="1:9" x14ac:dyDescent="0.25">
      <c r="A55" s="1"/>
      <c r="B55" s="120" t="s">
        <v>218</v>
      </c>
      <c r="C55" s="121"/>
      <c r="D55" s="121"/>
      <c r="E55" s="121"/>
      <c r="F55" s="122"/>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40826107.350829564</v>
      </c>
      <c r="H59" s="14" t="s">
        <v>3</v>
      </c>
      <c r="I59" s="1"/>
    </row>
    <row r="60" spans="1:9" x14ac:dyDescent="0.25">
      <c r="A60" s="1"/>
      <c r="B60" s="120" t="s">
        <v>220</v>
      </c>
      <c r="C60" s="121"/>
      <c r="D60" s="121"/>
      <c r="E60" s="121"/>
      <c r="F60" s="122"/>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44124856.82477659</v>
      </c>
      <c r="H64" s="14" t="s">
        <v>3</v>
      </c>
      <c r="I64" s="1"/>
    </row>
    <row r="65" spans="1:9" x14ac:dyDescent="0.25">
      <c r="A65" s="1"/>
      <c r="B65" s="120" t="s">
        <v>222</v>
      </c>
      <c r="C65" s="121"/>
      <c r="D65" s="121"/>
      <c r="E65" s="121"/>
      <c r="F65" s="122"/>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47690145.256218538</v>
      </c>
      <c r="H69" s="14" t="s">
        <v>3</v>
      </c>
      <c r="I69" s="1"/>
    </row>
    <row r="70" spans="1:9" x14ac:dyDescent="0.25">
      <c r="A70" s="1"/>
      <c r="B70" s="120" t="s">
        <v>222</v>
      </c>
      <c r="C70" s="121"/>
      <c r="D70" s="121"/>
      <c r="E70" s="121"/>
      <c r="F70" s="122"/>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jGT+Xp31WJFepqmzw+WSfHoqNmAPpgD4CQpazrvcZspWpVxUu1RwDjP5X3AiXFT++a/L73lcqzdbg8ABaMX8vQ==" saltValue="GIUeWlmRf8pG9xJa7h34T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ZK3pJY2o4TZU28v9pELP0aZNhTNutcxlQ1iEMApyYw4nqEg7YWNYGo7Eckhc3+5TXt1q0j2RBpmEUv7Zd8BmgQ==" saltValue="Axwc4qv+nEawpAbvq9v8c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2023-11-10T20:02:04Z</dcterms:modified>
</cp:coreProperties>
</file>