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Glostrup Spildevand AS (S030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6" i="40" l="1"/>
  <c r="E12" i="40"/>
  <c r="C12" i="19" l="1"/>
  <c r="E28" i="32" l="1"/>
  <c r="E20" i="32" l="1"/>
  <c r="E12" i="32"/>
  <c r="E32" i="32" s="1"/>
  <c r="C30" i="2" s="1"/>
  <c r="E38" i="32" l="1"/>
  <c r="E16" i="27"/>
  <c r="E17" i="27" s="1"/>
  <c r="E11" i="11" l="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E12" i="20"/>
  <c r="C24" i="2" s="1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5" i="39"/>
  <c r="C35" i="39"/>
  <c r="E27" i="39"/>
  <c r="C27" i="39"/>
  <c r="E19" i="39"/>
  <c r="E21" i="39" s="1"/>
  <c r="C19" i="39"/>
  <c r="C21" i="39" s="1"/>
  <c r="E11" i="39"/>
  <c r="E13" i="39" s="1"/>
  <c r="C11" i="39"/>
  <c r="C13" i="39" s="1"/>
  <c r="E37" i="39" l="1"/>
  <c r="E36" i="39"/>
  <c r="C37" i="39"/>
  <c r="C36" i="39"/>
  <c r="E29" i="39"/>
  <c r="E28" i="39"/>
  <c r="C29" i="39"/>
  <c r="C28" i="39"/>
  <c r="E20" i="39"/>
  <c r="E12" i="39"/>
  <c r="C20" i="39"/>
  <c r="C12" i="39"/>
  <c r="C14" i="39" s="1"/>
  <c r="C30" i="39" l="1"/>
  <c r="C22" i="22" s="1"/>
  <c r="C38" i="39"/>
  <c r="C22" i="23" s="1"/>
  <c r="E30" i="39"/>
  <c r="C23" i="22" s="1"/>
  <c r="E38" i="39"/>
  <c r="C23" i="23" s="1"/>
  <c r="E22" i="39"/>
  <c r="C23" i="15" s="1"/>
  <c r="C22" i="39"/>
  <c r="C22" i="15" s="1"/>
  <c r="E14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9" i="36" l="1"/>
  <c r="E19" i="27"/>
  <c r="G26" i="30"/>
  <c r="F12" i="11" l="1"/>
  <c r="C10" i="37" s="1"/>
  <c r="C14" i="37" s="1"/>
  <c r="G12" i="11"/>
  <c r="C15" i="37" l="1"/>
  <c r="C10" i="2" s="1"/>
  <c r="E11" i="21"/>
  <c r="E12" i="21" s="1"/>
  <c r="C11" i="21"/>
  <c r="C12" i="21" s="1"/>
  <c r="E11" i="29"/>
  <c r="E12" i="29" s="1"/>
  <c r="C11" i="29"/>
  <c r="C12" i="29" s="1"/>
  <c r="C13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s="1"/>
  <c r="E35" i="27" s="1"/>
  <c r="C9" i="2" l="1"/>
  <c r="G32" i="30"/>
  <c r="E12" i="11"/>
  <c r="E10" i="37" s="1"/>
  <c r="E14" i="37" s="1"/>
  <c r="E15" i="37" l="1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<sst xmlns="http://schemas.openxmlformats.org/spreadsheetml/2006/main" count="691" uniqueCount="276">
  <si>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</si>
  <si>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</si>
  <si>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</si>
  <si>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</si>
  <si>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</si>
  <si>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</si>
  <si>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</si>
  <si>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</si>
  <si>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</si>
  <si>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</si>
  <si>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</si>
  <si>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</si>
  <si>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</si>
  <si>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</si>
  <si>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</si>
  <si>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</si>
  <si>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</si>
  <si>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</si>
  <si>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</si>
  <si>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</si>
  <si>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</si>
  <si>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</si>
  <si>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</si>
  <si>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</si>
  <si>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</si>
  <si>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</si>
  <si>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</si>
  <si>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</si>
  <si>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</si>
  <si>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</si>
  <si>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</si>
  <si>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</si>
  <si>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</si>
  <si>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</si>
  <si>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</si>
  <si>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</si>
  <si>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</si>
  <si>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</si>
  <si>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</si>
  <si>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</si>
  <si>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</si>
  <si>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</si>
  <si>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</si>
  <si>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</si>
  <si>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</si>
  <si>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</si>
  <si>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</si>
  <si>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</si>
  <si>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</si>
  <si>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</si>
  <si>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</si>
  <si>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</si>
  <si>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</si>
  <si>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</si>
  <si>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</si>
  <si>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</si>
  <si>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</si>
  <si>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</si>
  <si>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</si>
  <si>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</si>
  <si>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</si>
  <si>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</si>
  <si>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</si>
  <si>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</si>
  <si>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</si>
  <si>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</si>
  <si>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</si>
  <si>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</si>
  <si>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</si>
  <si>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</si>
  <si>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</si>
  <si>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</si>
  <si>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</si>
  <si>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</si>
  <si>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</si>
  <si>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</si>
  <si>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</si>
  <si>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</si>
  <si>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</si>
  <si>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</si>
  <si>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</si>
  <si>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</si>
  <si>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</si>
  <si>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</si>
  <si>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</si>
  <si>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</si>
  <si>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</si>
  <si>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</si>
  <si>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</si>
  <si>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</si>
  <si>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</si>
  <si>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</si>
  <si>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</si>
  <si>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</si>
  <si>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</si>
  <si>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</si>
  <si>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</si>
  <si>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</si>
  <si>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</si>
  <si>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</si>
  <si>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</si>
  <si>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</si>
  <si>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</si>
  <si>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</si>
  <si>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</si>
  <si>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</si>
  <si>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</si>
  <si>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</si>
  <si>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</si>
  <si>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</si>
  <si>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</si>
  <si>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</si>
  <si>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</si>
  <si>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</si>
  <si>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</si>
  <si>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</si>
  <si>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</si>
  <si>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</si>
  <si>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</si>
  <si>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</si>
  <si>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</si>
  <si>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</si>
  <si>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</si>
  <si>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</si>
  <si>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</si>
  <si>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</si>
  <si>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</si>
  <si>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</si>
  <si>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</si>
  <si>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</si>
  <si>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</si>
  <si>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</si>
  <si>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</si>
  <si>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</si>
  <si>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</si>
  <si>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</si>
  <si>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</si>
  <si>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</si>
  <si>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</si>
  <si>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</si>
  <si>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</si>
  <si>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</si>
  <si>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</si>
  <si>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</si>
  <si>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</si>
  <si>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</si>
  <si>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</si>
  <si>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</si>
  <si>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</si>
  <si>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</si>
  <si>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</si>
  <si>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</si>
  <si>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</si>
  <si>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</si>
  <si>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</si>
  <si>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</si>
  <si>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</si>
  <si>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</si>
  <si>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</si>
  <si>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</si>
  <si>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</si>
  <si>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</si>
  <si>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</si>
  <si>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</si>
  <si>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</si>
  <si>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</si>
  <si>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</si>
  <si>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</si>
  <si>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</si>
  <si>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</si>
  <si>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</si>
  <si>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</si>
  <si>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</si>
  <si>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</si>
  <si>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</si>
  <si>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</si>
  <si>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</si>
  <si>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</si>
  <si>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</si>
  <si>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</si>
  <si>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</si>
  <si>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</si>
  <si>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</si>
  <si>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</si>
  <si>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</si>
  <si>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</si>
  <si>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</si>
  <si>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</si>
  <si>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</si>
  <si>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</si>
  <si>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</si>
  <si>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</si>
  <si>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</si>
  <si>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</si>
  <si>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</si>
  <si>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</si>
  <si>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</si>
  <si>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</si>
  <si>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</si>
  <si>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</si>
  <si>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</si>
  <si>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</si>
  <si>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</si>
  <si>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</si>
  <si>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</si>
  <si>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</si>
  <si>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</si>
  <si>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</si>
  <si>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</si>
  <si>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</si>
  <si>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</si>
  <si>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</si>
  <si>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</si>
  <si>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</si>
  <si>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</si>
  <si>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</si>
  <si>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</si>
  <si>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</si>
  <si>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</si>
  <si>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</si>
  <si>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</si>
  <si>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</si>
  <si>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</si>
  <si>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</si>
  <si>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</si>
  <si>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</si>
  <si>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</si>
  <si>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</si>
  <si>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</si>
  <si>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</si>
  <si>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</si>
  <si>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</si>
  <si>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</si>
  <si>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</si>
  <si>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</si>
  <si>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</si>
  <si>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</si>
  <si>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</si>
  <si>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</si>
  <si>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</si>
  <si>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</si>
  <si>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</si>
  <si>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</si>
  <si>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</si>
  <si>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</si>
  <si>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</si>
  <si>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</si>
  <si>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</si>
  <si>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</si>
  <si>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</si>
  <si>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</si>
  <si>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</si>
  <si>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</si>
  <si>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</si>
  <si>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</si>
  <si>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</si>
  <si>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</si>
  <si>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</si>
  <si>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</si>
  <si>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</si>
  <si>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</si>
  <si>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</si>
  <si>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</si>
  <si>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</si>
  <si>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</si>
  <si>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Afgift til Forsyningssekretariatet</t>
  </si>
  <si>
    <t>Køb af ydelser og produkter fra andre vandselskaber reguleret af vandsektorloven</t>
  </si>
  <si>
    <t>Ingen tilknyttet virksomhed</t>
  </si>
  <si>
    <t>Ingen bortfald eller nedsættelse</t>
  </si>
  <si>
    <t>Immaterielle anlægsaktiver</t>
  </si>
  <si>
    <t>Klimatilpasning</t>
  </si>
  <si>
    <t>Letbanen</t>
  </si>
  <si>
    <t>Byggemodninger 2019</t>
  </si>
  <si>
    <t>Ingen engangstillæg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</si>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</sst>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  <xf numFmtId="3" fontId="16" fillId="0" borderId="0" xfId="0" applyNumberFormat="1" applyFont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2" t="s">
        <v>4</v>
      </c>
      <c r="E6" s="62"/>
      <c r="F6" s="62"/>
      <c r="G6" s="62"/>
      <c r="H6" s="3"/>
      <c r="I6" s="1"/>
    </row>
    <row r="7" spans="1:9" ht="15" customHeight="1" x14ac:dyDescent="0.25">
      <c r="A7" s="1"/>
      <c r="B7" s="1"/>
      <c r="C7" s="3"/>
      <c r="D7" s="62"/>
      <c r="E7" s="62"/>
      <c r="F7" s="62"/>
      <c r="G7" s="62"/>
      <c r="H7" s="3"/>
      <c r="I7" s="1"/>
    </row>
    <row r="8" spans="1:9" ht="15.75" x14ac:dyDescent="0.25">
      <c r="A8" s="1"/>
      <c r="B8" s="1"/>
      <c r="C8" s="4"/>
      <c r="D8" s="70" t="s">
        <v>226</v>
      </c>
      <c r="E8" s="70"/>
      <c r="F8" s="70"/>
      <c r="G8" s="7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9" t="s">
        <v>5</v>
      </c>
      <c r="E11" s="69"/>
      <c r="F11" s="69"/>
      <c r="G11" s="6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9" t="s">
        <v>43</v>
      </c>
      <c r="E13" s="60"/>
      <c r="F13" s="60"/>
      <c r="G13" s="61"/>
      <c r="H13" s="1"/>
      <c r="I13" s="1"/>
    </row>
    <row r="14" spans="1:9" x14ac:dyDescent="0.25">
      <c r="A14" s="1"/>
      <c r="B14" s="1"/>
      <c r="C14" s="6" t="s">
        <v>17</v>
      </c>
      <c r="D14" s="59" t="s">
        <v>254</v>
      </c>
      <c r="E14" s="60"/>
      <c r="F14" s="60"/>
      <c r="G14" s="61"/>
      <c r="H14" s="1"/>
      <c r="I14" s="1"/>
    </row>
    <row r="15" spans="1:9" x14ac:dyDescent="0.25">
      <c r="A15" s="1"/>
      <c r="B15" s="1"/>
      <c r="C15" s="6" t="s">
        <v>41</v>
      </c>
      <c r="D15" s="59" t="s">
        <v>107</v>
      </c>
      <c r="E15" s="60"/>
      <c r="F15" s="60"/>
      <c r="G15" s="61"/>
      <c r="H15" s="1"/>
      <c r="I15" s="1"/>
    </row>
    <row r="16" spans="1:9" x14ac:dyDescent="0.25">
      <c r="A16" s="1"/>
      <c r="B16" s="1"/>
      <c r="C16" s="6" t="s">
        <v>42</v>
      </c>
      <c r="D16" s="59" t="s">
        <v>214</v>
      </c>
      <c r="E16" s="60"/>
      <c r="F16" s="60"/>
      <c r="G16" s="61"/>
      <c r="H16" s="1"/>
      <c r="I16" s="1"/>
    </row>
    <row r="17" spans="1:9" x14ac:dyDescent="0.25">
      <c r="A17" s="1"/>
      <c r="B17" s="1"/>
      <c r="C17" s="6" t="s">
        <v>180</v>
      </c>
      <c r="D17" s="59" t="s">
        <v>215</v>
      </c>
      <c r="E17" s="60"/>
      <c r="F17" s="60"/>
      <c r="G17" s="61"/>
      <c r="H17" s="1"/>
      <c r="I17" s="1"/>
    </row>
    <row r="18" spans="1:9" x14ac:dyDescent="0.25">
      <c r="A18" s="1"/>
      <c r="B18" s="1"/>
      <c r="C18" s="6" t="s">
        <v>157</v>
      </c>
      <c r="D18" s="71" t="s">
        <v>135</v>
      </c>
      <c r="E18" s="72"/>
      <c r="F18" s="72"/>
      <c r="G18" s="73"/>
      <c r="H18" s="1"/>
      <c r="I18" s="1"/>
    </row>
    <row r="19" spans="1:9" x14ac:dyDescent="0.25">
      <c r="A19" s="1"/>
      <c r="B19" s="1"/>
      <c r="C19" s="6" t="s">
        <v>158</v>
      </c>
      <c r="D19" s="71" t="s">
        <v>136</v>
      </c>
      <c r="E19" s="72"/>
      <c r="F19" s="72"/>
      <c r="G19" s="73"/>
      <c r="H19" s="1"/>
      <c r="I19" s="1"/>
    </row>
    <row r="20" spans="1:9" x14ac:dyDescent="0.25">
      <c r="A20" s="1"/>
      <c r="B20" s="1"/>
      <c r="C20" s="6" t="s">
        <v>7</v>
      </c>
      <c r="D20" s="71" t="s">
        <v>10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159</v>
      </c>
      <c r="D21" s="63" t="s">
        <v>13</v>
      </c>
      <c r="E21" s="64"/>
      <c r="F21" s="64"/>
      <c r="G21" s="65"/>
      <c r="H21" s="1"/>
      <c r="I21" s="1"/>
    </row>
    <row r="22" spans="1:9" x14ac:dyDescent="0.25">
      <c r="A22" s="1"/>
      <c r="B22" s="1"/>
      <c r="C22" s="6" t="s">
        <v>111</v>
      </c>
      <c r="D22" s="66" t="s">
        <v>255</v>
      </c>
      <c r="E22" s="67"/>
      <c r="F22" s="67"/>
      <c r="G22" s="68"/>
      <c r="H22" s="1"/>
      <c r="I22" s="1"/>
    </row>
    <row r="23" spans="1:9" x14ac:dyDescent="0.25">
      <c r="A23" s="1"/>
      <c r="B23" s="1"/>
      <c r="C23" s="6" t="s">
        <v>8</v>
      </c>
      <c r="D23" s="66" t="s">
        <v>184</v>
      </c>
      <c r="E23" s="67"/>
      <c r="F23" s="67"/>
      <c r="G23" s="68"/>
      <c r="H23" s="1"/>
      <c r="I23" s="1"/>
    </row>
    <row r="24" spans="1:9" x14ac:dyDescent="0.25">
      <c r="A24" s="1"/>
      <c r="B24" s="1"/>
      <c r="C24" s="6" t="s">
        <v>9</v>
      </c>
      <c r="D24" s="66" t="s">
        <v>44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160</v>
      </c>
      <c r="D25" s="66" t="s">
        <v>112</v>
      </c>
      <c r="E25" s="67"/>
      <c r="F25" s="67"/>
      <c r="G25" s="68"/>
      <c r="H25" s="1"/>
      <c r="I25" s="1"/>
    </row>
    <row r="26" spans="1:9" x14ac:dyDescent="0.25">
      <c r="A26" s="1"/>
      <c r="B26" s="1"/>
      <c r="C26" s="6" t="s">
        <v>161</v>
      </c>
      <c r="D26" s="66" t="s">
        <v>113</v>
      </c>
      <c r="E26" s="67"/>
      <c r="F26" s="67"/>
      <c r="G26" s="68"/>
      <c r="H26" s="1"/>
      <c r="I26" s="1"/>
    </row>
    <row r="27" spans="1:9" x14ac:dyDescent="0.25">
      <c r="A27" s="1"/>
      <c r="B27" s="1"/>
      <c r="C27" s="6" t="s">
        <v>162</v>
      </c>
      <c r="D27" s="66" t="s">
        <v>114</v>
      </c>
      <c r="E27" s="67"/>
      <c r="F27" s="67"/>
      <c r="G27" s="68"/>
      <c r="H27" s="1"/>
      <c r="I27" s="1"/>
    </row>
    <row r="28" spans="1:9" x14ac:dyDescent="0.25">
      <c r="A28" s="1"/>
      <c r="B28" s="1"/>
      <c r="C28" s="6" t="s">
        <v>16</v>
      </c>
      <c r="D28" s="66" t="s">
        <v>216</v>
      </c>
      <c r="E28" s="67"/>
      <c r="F28" s="67"/>
      <c r="G28" s="68"/>
      <c r="H28" s="1"/>
      <c r="I28" s="1"/>
    </row>
    <row r="29" spans="1:9" x14ac:dyDescent="0.25">
      <c r="A29" s="1"/>
      <c r="B29" s="1"/>
      <c r="C29" s="6" t="s">
        <v>46</v>
      </c>
      <c r="D29" s="66" t="s">
        <v>45</v>
      </c>
      <c r="E29" s="67"/>
      <c r="F29" s="67"/>
      <c r="G29" s="68"/>
      <c r="H29" s="1"/>
      <c r="I29" s="1"/>
    </row>
    <row r="30" spans="1:9" x14ac:dyDescent="0.25">
      <c r="A30" s="1"/>
      <c r="B30" s="1"/>
      <c r="C30" s="6" t="s">
        <v>47</v>
      </c>
      <c r="D30" s="74" t="s">
        <v>155</v>
      </c>
      <c r="E30" s="75"/>
      <c r="F30" s="75"/>
      <c r="G30" s="76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7" t="s">
        <v>165</v>
      </c>
      <c r="C3" s="77"/>
      <c r="D3" s="77"/>
      <c r="E3" s="1"/>
      <c r="F3" s="1"/>
    </row>
    <row r="4" spans="1:6" ht="15" customHeight="1" x14ac:dyDescent="0.25">
      <c r="A4" s="1"/>
      <c r="B4" s="77"/>
      <c r="C4" s="77"/>
      <c r="D4" s="77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8" t="s">
        <v>196</v>
      </c>
      <c r="C8" s="89"/>
      <c r="D8" s="90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x14ac:dyDescent="0.25">
      <c r="A10" s="1"/>
      <c r="B10" s="56" t="s">
        <v>265</v>
      </c>
      <c r="C10" s="9">
        <v>62402</v>
      </c>
      <c r="D10" s="14" t="s">
        <v>3</v>
      </c>
      <c r="E10" s="1"/>
      <c r="F10" s="1"/>
    </row>
    <row r="11" spans="1:6" x14ac:dyDescent="0.25">
      <c r="A11" s="1"/>
      <c r="B11" s="56" t="s">
        <v>266</v>
      </c>
      <c r="C11" s="9">
        <v>12072810</v>
      </c>
      <c r="D11" s="14" t="s">
        <v>3</v>
      </c>
      <c r="E11" s="1"/>
      <c r="F11" s="1"/>
    </row>
    <row r="12" spans="1:6" x14ac:dyDescent="0.25">
      <c r="A12" s="1"/>
      <c r="B12" s="38" t="s">
        <v>198</v>
      </c>
      <c r="C12" s="12">
        <f>SUM(C10:C11)</f>
        <v>12135212</v>
      </c>
      <c r="D12" s="13" t="s">
        <v>3</v>
      </c>
      <c r="E12" s="1"/>
      <c r="F12" s="1"/>
    </row>
    <row r="13" spans="1:6" x14ac:dyDescent="0.25">
      <c r="A13" s="1"/>
      <c r="B13" s="38" t="s">
        <v>199</v>
      </c>
      <c r="C13" s="12">
        <f>C12*(1+'Fane 14. Nøgletal'!C13)^2</f>
        <v>12433117.377754081</v>
      </c>
      <c r="D13" s="13" t="s">
        <v>3</v>
      </c>
      <c r="E13" s="1"/>
      <c r="F13" s="1"/>
    </row>
    <row r="14" spans="1:6" x14ac:dyDescent="0.25">
      <c r="A14" s="1"/>
      <c r="B14" s="16"/>
      <c r="C14" s="15"/>
      <c r="D14" s="15"/>
      <c r="E14" s="1"/>
      <c r="F14" s="1"/>
    </row>
    <row r="15" spans="1:6" x14ac:dyDescent="0.25">
      <c r="A15" s="1"/>
      <c r="B15" s="16"/>
      <c r="C15" s="15"/>
      <c r="D15" s="15"/>
      <c r="E15" s="1"/>
      <c r="F15" s="1"/>
    </row>
    <row r="16" spans="1:6" x14ac:dyDescent="0.25">
      <c r="A16" s="1"/>
      <c r="B16" s="88" t="s">
        <v>178</v>
      </c>
      <c r="C16" s="89"/>
      <c r="D16" s="90"/>
      <c r="E16" s="1"/>
      <c r="F16" s="1"/>
    </row>
    <row r="17" spans="1:6" x14ac:dyDescent="0.25">
      <c r="A17" s="1"/>
      <c r="B17" s="56" t="s">
        <v>147</v>
      </c>
      <c r="C17" s="9">
        <v>16294</v>
      </c>
      <c r="D17" s="14" t="s">
        <v>3</v>
      </c>
      <c r="E17" s="1"/>
      <c r="F17" s="1"/>
    </row>
    <row r="18" spans="1:6" x14ac:dyDescent="0.25">
      <c r="A18" s="1"/>
      <c r="B18" s="56" t="s">
        <v>148</v>
      </c>
      <c r="C18" s="9">
        <v>16337</v>
      </c>
      <c r="D18" s="14" t="s">
        <v>3</v>
      </c>
      <c r="E18" s="1"/>
      <c r="F18" s="1"/>
    </row>
    <row r="19" spans="1:6" x14ac:dyDescent="0.25">
      <c r="A19" s="1"/>
      <c r="B19" s="56" t="s">
        <v>149</v>
      </c>
      <c r="C19" s="9">
        <v>16382</v>
      </c>
      <c r="D19" s="14" t="s">
        <v>3</v>
      </c>
      <c r="E19" s="1"/>
      <c r="F19" s="1"/>
    </row>
    <row r="20" spans="1:6" x14ac:dyDescent="0.25">
      <c r="A20" s="1"/>
      <c r="B20" s="56" t="s">
        <v>200</v>
      </c>
      <c r="C20" s="9">
        <v>16427</v>
      </c>
      <c r="D20" s="14" t="s">
        <v>3</v>
      </c>
      <c r="E20" s="1"/>
      <c r="F20" s="1"/>
    </row>
    <row r="21" spans="1:6" x14ac:dyDescent="0.25">
      <c r="A21" s="1"/>
      <c r="B21" s="88"/>
      <c r="C21" s="89"/>
      <c r="D21" s="90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88" t="s">
        <v>146</v>
      </c>
      <c r="C24" s="89"/>
      <c r="D24" s="90"/>
      <c r="E24" s="1"/>
      <c r="F24" s="1"/>
    </row>
    <row r="25" spans="1:6" x14ac:dyDescent="0.25">
      <c r="A25" s="1"/>
      <c r="B25" s="56" t="s">
        <v>147</v>
      </c>
      <c r="C25" s="9">
        <v>0</v>
      </c>
      <c r="D25" s="14" t="s">
        <v>3</v>
      </c>
      <c r="E25" s="1"/>
      <c r="F25" s="1"/>
    </row>
    <row r="26" spans="1:6" x14ac:dyDescent="0.25">
      <c r="A26" s="1"/>
      <c r="B26" s="56" t="s">
        <v>148</v>
      </c>
      <c r="C26" s="9">
        <v>0</v>
      </c>
      <c r="D26" s="14" t="s">
        <v>3</v>
      </c>
      <c r="E26" s="1"/>
      <c r="F26" s="1"/>
    </row>
    <row r="27" spans="1:6" x14ac:dyDescent="0.25">
      <c r="A27" s="1"/>
      <c r="B27" s="56" t="s">
        <v>149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56" t="s">
        <v>200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88"/>
      <c r="C29" s="89"/>
      <c r="D29" s="90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29:D29"/>
    <mergeCell ref="B3:D4"/>
    <mergeCell ref="B8:D8"/>
    <mergeCell ref="B16:D16"/>
    <mergeCell ref="B24:D24"/>
    <mergeCell ref="B21:D21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1" t="s">
        <v>256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ht="15" customHeight="1" x14ac:dyDescent="0.25">
      <c r="A5" s="1"/>
      <c r="B5" s="54"/>
      <c r="C5" s="54"/>
      <c r="D5" s="54"/>
      <c r="E5" s="54"/>
      <c r="F5" s="54"/>
      <c r="G5" s="1"/>
    </row>
    <row r="6" spans="1:7" ht="15" customHeight="1" x14ac:dyDescent="0.25">
      <c r="A6" s="1"/>
      <c r="B6" s="54"/>
      <c r="C6" s="54"/>
      <c r="D6" s="54"/>
      <c r="E6" s="54"/>
      <c r="F6" s="54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137</v>
      </c>
      <c r="C8" s="89"/>
      <c r="D8" s="89"/>
      <c r="E8" s="89"/>
      <c r="F8" s="90"/>
      <c r="G8" s="1"/>
    </row>
    <row r="9" spans="1:7" x14ac:dyDescent="0.25">
      <c r="A9" s="1"/>
      <c r="B9" s="94" t="s">
        <v>138</v>
      </c>
      <c r="C9" s="95"/>
      <c r="D9" s="96"/>
      <c r="E9" s="9">
        <v>42081085.847064793</v>
      </c>
      <c r="F9" s="14" t="s">
        <v>3</v>
      </c>
      <c r="G9" s="1"/>
    </row>
    <row r="10" spans="1:7" x14ac:dyDescent="0.25">
      <c r="A10" s="1"/>
      <c r="B10" s="94" t="s">
        <v>139</v>
      </c>
      <c r="C10" s="95"/>
      <c r="D10" s="96"/>
      <c r="E10" s="9">
        <v>39935912</v>
      </c>
      <c r="F10" s="14" t="s">
        <v>3</v>
      </c>
      <c r="G10" s="1"/>
    </row>
    <row r="11" spans="1:7" x14ac:dyDescent="0.25">
      <c r="A11" s="1"/>
      <c r="B11" s="94" t="s">
        <v>40</v>
      </c>
      <c r="C11" s="95"/>
      <c r="D11" s="96"/>
      <c r="E11" s="9">
        <v>0</v>
      </c>
      <c r="F11" s="14" t="s">
        <v>3</v>
      </c>
      <c r="G11" s="1"/>
    </row>
    <row r="12" spans="1:7" x14ac:dyDescent="0.25">
      <c r="A12" s="1"/>
      <c r="B12" s="92" t="s">
        <v>140</v>
      </c>
      <c r="C12" s="93"/>
      <c r="D12" s="103"/>
      <c r="E12" s="10">
        <f>E9-(E10-E11)</f>
        <v>2145173.8470647931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79" t="s">
        <v>156</v>
      </c>
      <c r="C14" s="80"/>
      <c r="D14" s="80"/>
      <c r="E14" s="80"/>
      <c r="F14" s="81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8" t="s">
        <v>52</v>
      </c>
      <c r="C16" s="89"/>
      <c r="D16" s="89"/>
      <c r="E16" s="89"/>
      <c r="F16" s="90"/>
      <c r="G16" s="1"/>
    </row>
    <row r="17" spans="1:7" x14ac:dyDescent="0.25">
      <c r="A17" s="1"/>
      <c r="B17" s="94" t="s">
        <v>53</v>
      </c>
      <c r="C17" s="95"/>
      <c r="D17" s="96"/>
      <c r="E17" s="9">
        <v>30406378.843385179</v>
      </c>
      <c r="F17" s="14" t="s">
        <v>3</v>
      </c>
      <c r="G17" s="1"/>
    </row>
    <row r="18" spans="1:7" x14ac:dyDescent="0.25">
      <c r="A18" s="1"/>
      <c r="B18" s="94" t="s">
        <v>54</v>
      </c>
      <c r="C18" s="95"/>
      <c r="D18" s="96"/>
      <c r="E18" s="9">
        <v>33208659</v>
      </c>
      <c r="F18" s="14" t="s">
        <v>3</v>
      </c>
      <c r="G18" s="1"/>
    </row>
    <row r="19" spans="1:7" x14ac:dyDescent="0.25">
      <c r="A19" s="1"/>
      <c r="B19" s="94" t="s">
        <v>40</v>
      </c>
      <c r="C19" s="95"/>
      <c r="D19" s="96"/>
      <c r="E19" s="9">
        <v>0</v>
      </c>
      <c r="F19" s="14" t="s">
        <v>3</v>
      </c>
      <c r="G19" s="1"/>
    </row>
    <row r="20" spans="1:7" x14ac:dyDescent="0.25">
      <c r="A20" s="1"/>
      <c r="B20" s="92" t="s">
        <v>55</v>
      </c>
      <c r="C20" s="93"/>
      <c r="D20" s="103"/>
      <c r="E20" s="10">
        <f>E17-(E18-E19)</f>
        <v>-2802280.1566148214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79" t="s">
        <v>218</v>
      </c>
      <c r="C22" s="80"/>
      <c r="D22" s="80"/>
      <c r="E22" s="80"/>
      <c r="F22" s="81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8" t="s">
        <v>245</v>
      </c>
      <c r="C24" s="89"/>
      <c r="D24" s="89"/>
      <c r="E24" s="89"/>
      <c r="F24" s="90"/>
      <c r="G24" s="1"/>
    </row>
    <row r="25" spans="1:7" x14ac:dyDescent="0.25">
      <c r="A25" s="1"/>
      <c r="B25" s="94" t="s">
        <v>246</v>
      </c>
      <c r="C25" s="95"/>
      <c r="D25" s="96"/>
      <c r="E25" s="9">
        <v>33121715.368433937</v>
      </c>
      <c r="F25" s="14" t="s">
        <v>3</v>
      </c>
      <c r="G25" s="1"/>
    </row>
    <row r="26" spans="1:7" x14ac:dyDescent="0.25">
      <c r="A26" s="1"/>
      <c r="B26" s="94" t="s">
        <v>247</v>
      </c>
      <c r="C26" s="95"/>
      <c r="D26" s="96"/>
      <c r="E26" s="9">
        <v>32117203</v>
      </c>
      <c r="F26" s="14" t="s">
        <v>3</v>
      </c>
      <c r="G26" s="1"/>
    </row>
    <row r="27" spans="1:7" x14ac:dyDescent="0.25">
      <c r="A27" s="1"/>
      <c r="B27" s="94" t="s">
        <v>40</v>
      </c>
      <c r="C27" s="95"/>
      <c r="D27" s="96"/>
      <c r="E27" s="9">
        <v>0</v>
      </c>
      <c r="F27" s="14" t="s">
        <v>3</v>
      </c>
      <c r="G27" s="1"/>
    </row>
    <row r="28" spans="1:7" x14ac:dyDescent="0.25">
      <c r="A28" s="1"/>
      <c r="B28" s="92" t="s">
        <v>248</v>
      </c>
      <c r="C28" s="93"/>
      <c r="D28" s="103"/>
      <c r="E28" s="10">
        <f>E25-(E26-E27)</f>
        <v>1004512.3684339374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88" t="s">
        <v>250</v>
      </c>
      <c r="C31" s="89"/>
      <c r="D31" s="89"/>
      <c r="E31" s="89"/>
      <c r="F31" s="90"/>
      <c r="G31" s="1"/>
    </row>
    <row r="32" spans="1:7" x14ac:dyDescent="0.25">
      <c r="A32" s="1"/>
      <c r="B32" s="92" t="s">
        <v>251</v>
      </c>
      <c r="C32" s="93"/>
      <c r="D32" s="103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328553.15477501415</v>
      </c>
      <c r="F32" s="17" t="s">
        <v>3</v>
      </c>
      <c r="G32" s="1"/>
    </row>
    <row r="33" spans="1:7" x14ac:dyDescent="0.25">
      <c r="A33" s="1"/>
      <c r="B33" s="88"/>
      <c r="C33" s="89"/>
      <c r="D33" s="89"/>
      <c r="E33" s="89"/>
      <c r="F33" s="90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88" t="s">
        <v>249</v>
      </c>
      <c r="C35" s="89"/>
      <c r="D35" s="89"/>
      <c r="E35" s="89"/>
      <c r="F35" s="90"/>
      <c r="G35" s="1"/>
    </row>
    <row r="36" spans="1:7" x14ac:dyDescent="0.25">
      <c r="A36" s="1"/>
      <c r="B36" s="104" t="s">
        <v>274</v>
      </c>
      <c r="C36" s="105"/>
      <c r="D36" s="106"/>
      <c r="E36" s="9">
        <v>0</v>
      </c>
      <c r="F36" s="14"/>
      <c r="G36" s="1"/>
    </row>
    <row r="37" spans="1:7" x14ac:dyDescent="0.25">
      <c r="A37" s="1"/>
      <c r="B37" s="104" t="s">
        <v>275</v>
      </c>
      <c r="C37" s="105"/>
      <c r="D37" s="106"/>
      <c r="E37" s="9">
        <v>0</v>
      </c>
      <c r="F37" s="14"/>
      <c r="G37" s="1"/>
    </row>
    <row r="38" spans="1:7" x14ac:dyDescent="0.25">
      <c r="A38" s="1"/>
      <c r="B38" s="104" t="s">
        <v>252</v>
      </c>
      <c r="C38" s="105"/>
      <c r="D38" s="106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4" t="s">
        <v>152</v>
      </c>
      <c r="C39" s="105"/>
      <c r="D39" s="106"/>
      <c r="E39" s="9">
        <v>2</v>
      </c>
      <c r="F39" s="14" t="s">
        <v>21</v>
      </c>
      <c r="G39" s="1"/>
    </row>
    <row r="40" spans="1:7" x14ac:dyDescent="0.25">
      <c r="A40" s="1"/>
      <c r="B40" s="110" t="s">
        <v>253</v>
      </c>
      <c r="C40" s="110"/>
      <c r="D40" s="110"/>
      <c r="E40" s="10">
        <f>E38/E39</f>
        <v>0</v>
      </c>
      <c r="F40" s="17" t="s">
        <v>3</v>
      </c>
      <c r="G40" s="1"/>
    </row>
    <row r="41" spans="1:7" x14ac:dyDescent="0.25">
      <c r="A41" s="1"/>
      <c r="B41" s="107"/>
      <c r="C41" s="108"/>
      <c r="D41" s="108"/>
      <c r="E41" s="108"/>
      <c r="F41" s="109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yO03HznQlvBLRjFos7rskWD5QSn8bkEPz+ijEwHdP3omxqOC0TgyFRPp2/l7YtFEe4Dxfbxtwdzdlcjp6IQEwg==" saltValue="U6Sj2l+DWEaI6ZKOVa9eRw==" spinCount="100000" sheet="1" objects="1" scenarios="1"/>
  <mergeCells count="28"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  <mergeCell ref="B35:F35"/>
    <mergeCell ref="B38:D38"/>
    <mergeCell ref="B41:F41"/>
    <mergeCell ref="B39:D39"/>
    <mergeCell ref="B40:D40"/>
    <mergeCell ref="B36:D36"/>
    <mergeCell ref="B37:D37"/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1" t="s">
        <v>201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88" t="s">
        <v>202</v>
      </c>
      <c r="C9" s="89"/>
      <c r="D9" s="89"/>
      <c r="E9" s="89"/>
      <c r="F9" s="90"/>
      <c r="G9" s="1"/>
    </row>
    <row r="10" spans="1:7" x14ac:dyDescent="0.25">
      <c r="A10" s="1"/>
      <c r="B10" s="79" t="s">
        <v>150</v>
      </c>
      <c r="C10" s="80"/>
      <c r="D10" s="81"/>
      <c r="E10" s="7">
        <v>0</v>
      </c>
      <c r="F10" s="8" t="s">
        <v>3</v>
      </c>
      <c r="G10" s="1"/>
    </row>
    <row r="11" spans="1:7" x14ac:dyDescent="0.25">
      <c r="A11" s="1"/>
      <c r="B11" s="94" t="s">
        <v>203</v>
      </c>
      <c r="C11" s="95"/>
      <c r="D11" s="96"/>
      <c r="E11" s="7">
        <v>0</v>
      </c>
      <c r="F11" s="8" t="s">
        <v>3</v>
      </c>
      <c r="G11" s="1"/>
    </row>
    <row r="12" spans="1:7" x14ac:dyDescent="0.25">
      <c r="A12" s="1"/>
      <c r="B12" s="92" t="s">
        <v>151</v>
      </c>
      <c r="C12" s="93"/>
      <c r="D12" s="103"/>
      <c r="E12" s="10">
        <f>E11-E10</f>
        <v>0</v>
      </c>
      <c r="F12" s="11" t="s">
        <v>3</v>
      </c>
      <c r="G12" s="1"/>
    </row>
    <row r="13" spans="1:7" x14ac:dyDescent="0.25">
      <c r="A13" s="1"/>
      <c r="B13" s="88" t="s">
        <v>134</v>
      </c>
      <c r="C13" s="89"/>
      <c r="D13" s="89"/>
      <c r="E13" s="89"/>
      <c r="F13" s="90"/>
      <c r="G13" s="1"/>
    </row>
    <row r="14" spans="1:7" x14ac:dyDescent="0.25">
      <c r="A14" s="1"/>
      <c r="B14" s="94" t="s">
        <v>204</v>
      </c>
      <c r="C14" s="95"/>
      <c r="D14" s="96"/>
      <c r="E14" s="9">
        <v>16208</v>
      </c>
      <c r="F14" s="8" t="s">
        <v>3</v>
      </c>
      <c r="G14" s="1"/>
    </row>
    <row r="15" spans="1:7" x14ac:dyDescent="0.25">
      <c r="A15" s="1"/>
      <c r="B15" s="79" t="s">
        <v>205</v>
      </c>
      <c r="C15" s="80"/>
      <c r="D15" s="81"/>
      <c r="E15" s="9">
        <v>0</v>
      </c>
      <c r="F15" s="8" t="s">
        <v>3</v>
      </c>
      <c r="G15" s="1"/>
    </row>
    <row r="16" spans="1:7" x14ac:dyDescent="0.25">
      <c r="A16" s="1"/>
      <c r="B16" s="92" t="s">
        <v>151</v>
      </c>
      <c r="C16" s="93"/>
      <c r="D16" s="103"/>
      <c r="E16" s="10">
        <f>E15-E14</f>
        <v>-16208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-16208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236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237</v>
      </c>
      <c r="C8" s="89"/>
      <c r="D8" s="89"/>
      <c r="E8" s="89"/>
      <c r="F8" s="89"/>
      <c r="G8" s="89"/>
      <c r="H8" s="90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8" t="s">
        <v>269</v>
      </c>
      <c r="C10" s="47">
        <v>5</v>
      </c>
      <c r="D10" s="9">
        <v>1284597</v>
      </c>
      <c r="E10" s="9">
        <f>IFERROR(D10/C10,0)</f>
        <v>256919.4</v>
      </c>
      <c r="F10" s="9">
        <v>0</v>
      </c>
      <c r="G10" s="9">
        <v>31252</v>
      </c>
      <c r="H10" s="14" t="s">
        <v>3</v>
      </c>
      <c r="I10" s="1"/>
    </row>
    <row r="11" spans="1:9" x14ac:dyDescent="0.25">
      <c r="A11" s="1"/>
      <c r="B11" s="58" t="s">
        <v>269</v>
      </c>
      <c r="C11" s="47">
        <v>5</v>
      </c>
      <c r="D11" s="9">
        <v>1800013</v>
      </c>
      <c r="E11" s="9">
        <f t="shared" ref="E11" si="0">IFERROR(D11/C11,0)</f>
        <v>360002.6</v>
      </c>
      <c r="F11" s="9">
        <v>0</v>
      </c>
      <c r="G11" s="9">
        <v>44240</v>
      </c>
      <c r="H11" s="14" t="s">
        <v>3</v>
      </c>
      <c r="I11" s="1"/>
    </row>
    <row r="12" spans="1:9" x14ac:dyDescent="0.25">
      <c r="A12" s="1"/>
      <c r="B12" s="88" t="s">
        <v>238</v>
      </c>
      <c r="C12" s="89"/>
      <c r="D12" s="90"/>
      <c r="E12" s="12">
        <f>SUM(E10:E11)</f>
        <v>616922</v>
      </c>
      <c r="F12" s="12">
        <f>SUM(F10:F11)</f>
        <v>0</v>
      </c>
      <c r="G12" s="12">
        <f>SUM(G10:G11)</f>
        <v>75492</v>
      </c>
      <c r="H12" s="13" t="s">
        <v>3</v>
      </c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2:D12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7" t="s">
        <v>168</v>
      </c>
      <c r="C3" s="77"/>
      <c r="D3" s="77"/>
      <c r="E3" s="77"/>
      <c r="F3" s="77"/>
      <c r="G3" s="1"/>
    </row>
    <row r="4" spans="1:7" ht="15" customHeight="1" x14ac:dyDescent="0.25">
      <c r="A4" s="1"/>
      <c r="B4" s="77"/>
      <c r="C4" s="77"/>
      <c r="D4" s="77"/>
      <c r="E4" s="77"/>
      <c r="F4" s="7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53" t="s">
        <v>18</v>
      </c>
      <c r="C9" s="53" t="s">
        <v>12</v>
      </c>
      <c r="D9" s="55"/>
      <c r="E9" s="53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Anlægsprojekter'!F12</f>
        <v>0</v>
      </c>
      <c r="D10" s="14" t="s">
        <v>3</v>
      </c>
      <c r="E10" s="9">
        <f>SUM('Fane 9. Anlægsprojekter'!E12,'Fane 9. Anlægsprojekter'!G12)</f>
        <v>692414</v>
      </c>
      <c r="F10" s="14" t="s">
        <v>3</v>
      </c>
      <c r="G10" s="1"/>
    </row>
    <row r="11" spans="1:7" x14ac:dyDescent="0.25">
      <c r="A11" s="1"/>
      <c r="B11" s="48" t="s">
        <v>270</v>
      </c>
      <c r="C11" s="22">
        <v>0</v>
      </c>
      <c r="D11" s="14" t="s">
        <v>3</v>
      </c>
      <c r="E11" s="9">
        <v>467949</v>
      </c>
      <c r="F11" s="14" t="s">
        <v>3</v>
      </c>
      <c r="G11" s="1"/>
    </row>
    <row r="12" spans="1:7" ht="15.75" x14ac:dyDescent="0.25">
      <c r="A12" s="1"/>
      <c r="B12" s="48" t="s">
        <v>271</v>
      </c>
      <c r="C12" s="22">
        <v>0</v>
      </c>
      <c r="D12" s="14" t="s">
        <v>3</v>
      </c>
      <c r="E12" s="114">
        <v>637496</v>
      </c>
      <c r="F12" s="14" t="s">
        <v>3</v>
      </c>
      <c r="G12" s="1"/>
    </row>
    <row r="13" spans="1:7" x14ac:dyDescent="0.25">
      <c r="A13" s="1"/>
      <c r="B13" s="25" t="s">
        <v>272</v>
      </c>
      <c r="C13" s="22">
        <v>23018</v>
      </c>
      <c r="D13" s="14" t="s">
        <v>3</v>
      </c>
      <c r="E13" s="9">
        <v>119856</v>
      </c>
      <c r="F13" s="14" t="s">
        <v>3</v>
      </c>
      <c r="G13" s="1"/>
    </row>
    <row r="14" spans="1:7" x14ac:dyDescent="0.25">
      <c r="A14" s="1"/>
      <c r="B14" s="38" t="s">
        <v>50</v>
      </c>
      <c r="C14" s="12">
        <f>SUM(C10:C13)</f>
        <v>23018</v>
      </c>
      <c r="D14" s="13" t="s">
        <v>3</v>
      </c>
      <c r="E14" s="12">
        <f>SUM(E10:E13)</f>
        <v>1917715</v>
      </c>
      <c r="F14" s="13" t="s">
        <v>3</v>
      </c>
      <c r="G14" s="1"/>
    </row>
    <row r="15" spans="1:7" x14ac:dyDescent="0.25">
      <c r="A15" s="1"/>
      <c r="B15" s="38" t="s">
        <v>219</v>
      </c>
      <c r="C15" s="12">
        <f>C14*(1+'Fane 14. Nøgletal'!C13)</f>
        <v>23298.819599999999</v>
      </c>
      <c r="D15" s="13" t="s">
        <v>3</v>
      </c>
      <c r="E15" s="12">
        <f>E14*(1+'Fane 14. Nøgletal'!C13)</f>
        <v>1941111.1229999999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GLFvsvtf0k/m942HEheWqZlPOBmVxu/h98MeUx4pwpHOMQQwfUpzvI6fJl8Ja7oongqcMvt/XFZxfUIAOgvKVg==" saltValue="tlWAXjar1JMOSMu2shlMf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7" t="s">
        <v>167</v>
      </c>
      <c r="C3" s="77"/>
      <c r="D3" s="77"/>
      <c r="E3" s="77"/>
      <c r="F3" s="77"/>
      <c r="G3" s="1"/>
    </row>
    <row r="4" spans="1:7" ht="15" customHeight="1" x14ac:dyDescent="0.25">
      <c r="A4" s="1"/>
      <c r="B4" s="77"/>
      <c r="C4" s="77"/>
      <c r="D4" s="77"/>
      <c r="E4" s="77"/>
      <c r="F4" s="7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141</v>
      </c>
      <c r="C8" s="89"/>
      <c r="D8" s="89"/>
      <c r="E8" s="89"/>
      <c r="F8" s="90"/>
      <c r="G8" s="1"/>
    </row>
    <row r="9" spans="1:7" x14ac:dyDescent="0.25">
      <c r="A9" s="1"/>
      <c r="B9" s="53" t="s">
        <v>18</v>
      </c>
      <c r="C9" s="53" t="s">
        <v>12</v>
      </c>
      <c r="D9" s="55"/>
      <c r="E9" s="53" t="s">
        <v>38</v>
      </c>
      <c r="F9" s="37"/>
      <c r="G9" s="1"/>
    </row>
    <row r="10" spans="1:7" x14ac:dyDescent="0.25">
      <c r="A10" s="1"/>
      <c r="B10" s="25" t="s">
        <v>273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220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10</v>
      </c>
      <c r="C12" s="28">
        <f>-C11*'Fane 5. Individuelt eff. krav'!G11</f>
        <v>0</v>
      </c>
      <c r="D12" s="29" t="s">
        <v>3</v>
      </c>
      <c r="E12" s="28">
        <f>-E11*'Fane 5. Individuelt eff. krav'!G11</f>
        <v>0</v>
      </c>
      <c r="F12" s="29" t="s">
        <v>3</v>
      </c>
      <c r="G12" s="1"/>
    </row>
    <row r="13" spans="1:7" x14ac:dyDescent="0.25">
      <c r="A13" s="1"/>
      <c r="B13" s="27" t="s">
        <v>145</v>
      </c>
      <c r="C13" s="28">
        <f>-C11*'Fane 14. Nøgletal'!C27</f>
        <v>0</v>
      </c>
      <c r="D13" s="29" t="s">
        <v>3</v>
      </c>
      <c r="E13" s="28">
        <f>-E11*'Fane 14. Nøgletal'!C22</f>
        <v>0</v>
      </c>
      <c r="F13" s="29" t="s">
        <v>3</v>
      </c>
      <c r="G13" s="1"/>
    </row>
    <row r="14" spans="1:7" x14ac:dyDescent="0.25">
      <c r="A14" s="1"/>
      <c r="B14" s="38" t="s">
        <v>144</v>
      </c>
      <c r="C14" s="12">
        <f>SUM(C11:C13)*(1+'Fane 14. Nøgletal'!C13)^2</f>
        <v>0</v>
      </c>
      <c r="D14" s="13" t="s">
        <v>3</v>
      </c>
      <c r="E14" s="12">
        <f>SUM(E11:E13)*(1+'Fane 14.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88" t="s">
        <v>142</v>
      </c>
      <c r="C16" s="89"/>
      <c r="D16" s="89"/>
      <c r="E16" s="89"/>
      <c r="F16" s="90"/>
      <c r="G16" s="1"/>
    </row>
    <row r="17" spans="1:7" x14ac:dyDescent="0.25">
      <c r="A17" s="1"/>
      <c r="B17" s="53" t="s">
        <v>18</v>
      </c>
      <c r="C17" s="53" t="s">
        <v>12</v>
      </c>
      <c r="D17" s="55"/>
      <c r="E17" s="53" t="s">
        <v>38</v>
      </c>
      <c r="F17" s="37"/>
      <c r="G17" s="1"/>
    </row>
    <row r="18" spans="1:7" x14ac:dyDescent="0.25">
      <c r="A18" s="1"/>
      <c r="B18" s="25" t="s">
        <v>273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8" t="s">
        <v>220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10</v>
      </c>
      <c r="C20" s="28">
        <f>-C19*'Fane 5. Individuelt eff. krav'!G11</f>
        <v>0</v>
      </c>
      <c r="D20" s="29" t="s">
        <v>3</v>
      </c>
      <c r="E20" s="28">
        <f>-E19*'Fane 5. Individuelt eff. krav'!G11</f>
        <v>0</v>
      </c>
      <c r="F20" s="29" t="s">
        <v>3</v>
      </c>
      <c r="G20" s="1"/>
    </row>
    <row r="21" spans="1:7" x14ac:dyDescent="0.25">
      <c r="A21" s="1"/>
      <c r="B21" s="27" t="s">
        <v>145</v>
      </c>
      <c r="C21" s="28">
        <f>-C19*'Fane 14. Nøgletal'!C27</f>
        <v>0</v>
      </c>
      <c r="D21" s="29" t="s">
        <v>3</v>
      </c>
      <c r="E21" s="28">
        <f>-E19*'Fane 14. Nøgletal'!C22</f>
        <v>0</v>
      </c>
      <c r="F21" s="29" t="s">
        <v>3</v>
      </c>
      <c r="G21" s="1"/>
    </row>
    <row r="22" spans="1:7" x14ac:dyDescent="0.25">
      <c r="A22" s="1"/>
      <c r="B22" s="38" t="s">
        <v>221</v>
      </c>
      <c r="C22" s="12">
        <f>SUM(C19:C21)*(1+'Fane 14. Nøgletal'!C13)^3</f>
        <v>0</v>
      </c>
      <c r="D22" s="13" t="s">
        <v>3</v>
      </c>
      <c r="E22" s="12">
        <f>SUM(E19:E21)*(1+'Fane 14.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88" t="s">
        <v>143</v>
      </c>
      <c r="C24" s="89"/>
      <c r="D24" s="89"/>
      <c r="E24" s="89"/>
      <c r="F24" s="90"/>
      <c r="G24" s="1"/>
    </row>
    <row r="25" spans="1:7" x14ac:dyDescent="0.25">
      <c r="A25" s="1"/>
      <c r="B25" s="53" t="s">
        <v>18</v>
      </c>
      <c r="C25" s="53" t="s">
        <v>12</v>
      </c>
      <c r="D25" s="55"/>
      <c r="E25" s="53" t="s">
        <v>38</v>
      </c>
      <c r="F25" s="37"/>
      <c r="G25" s="1"/>
    </row>
    <row r="26" spans="1:7" x14ac:dyDescent="0.25">
      <c r="A26" s="1"/>
      <c r="B26" s="25" t="s">
        <v>273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8" t="s">
        <v>220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10</v>
      </c>
      <c r="C28" s="28">
        <f>-C27*'Fane 5. Individuelt eff. krav'!G11</f>
        <v>0</v>
      </c>
      <c r="D28" s="29" t="s">
        <v>3</v>
      </c>
      <c r="E28" s="28">
        <f>-E27*'Fane 5. Individuelt eff. krav'!G11</f>
        <v>0</v>
      </c>
      <c r="F28" s="29" t="s">
        <v>3</v>
      </c>
      <c r="G28" s="1"/>
    </row>
    <row r="29" spans="1:7" x14ac:dyDescent="0.25">
      <c r="A29" s="1"/>
      <c r="B29" s="27" t="s">
        <v>145</v>
      </c>
      <c r="C29" s="28">
        <f>-C27*'Fane 14. Nøgletal'!C27</f>
        <v>0</v>
      </c>
      <c r="D29" s="29" t="s">
        <v>3</v>
      </c>
      <c r="E29" s="28">
        <f>-E27*'Fane 14. Nøgletal'!C22</f>
        <v>0</v>
      </c>
      <c r="F29" s="29" t="s">
        <v>3</v>
      </c>
      <c r="G29" s="1"/>
    </row>
    <row r="30" spans="1:7" x14ac:dyDescent="0.25">
      <c r="A30" s="1"/>
      <c r="B30" s="38" t="s">
        <v>222</v>
      </c>
      <c r="C30" s="12">
        <f>SUM(C27:C29)*(1+'Fane 14. Nøgletal'!C13)^4</f>
        <v>0</v>
      </c>
      <c r="D30" s="13" t="s">
        <v>3</v>
      </c>
      <c r="E30" s="12">
        <f>SUM(E27:E29)*(1+'Fane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88" t="s">
        <v>223</v>
      </c>
      <c r="C32" s="89"/>
      <c r="D32" s="89"/>
      <c r="E32" s="89"/>
      <c r="F32" s="90"/>
      <c r="G32" s="1"/>
    </row>
    <row r="33" spans="1:7" x14ac:dyDescent="0.25">
      <c r="A33" s="1"/>
      <c r="B33" s="53" t="s">
        <v>18</v>
      </c>
      <c r="C33" s="53" t="s">
        <v>12</v>
      </c>
      <c r="D33" s="55"/>
      <c r="E33" s="53" t="s">
        <v>38</v>
      </c>
      <c r="F33" s="37"/>
      <c r="G33" s="1"/>
    </row>
    <row r="34" spans="1:7" x14ac:dyDescent="0.25">
      <c r="A34" s="1"/>
      <c r="B34" s="25" t="s">
        <v>273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8" t="s">
        <v>220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10</v>
      </c>
      <c r="C36" s="28">
        <f>-C35*'Fane 5. Individuelt eff. krav'!G11</f>
        <v>0</v>
      </c>
      <c r="D36" s="29" t="s">
        <v>3</v>
      </c>
      <c r="E36" s="28">
        <f>-E35*'Fane 5. Individuelt eff. krav'!G11</f>
        <v>0</v>
      </c>
      <c r="F36" s="29" t="s">
        <v>3</v>
      </c>
      <c r="G36" s="1"/>
    </row>
    <row r="37" spans="1:7" x14ac:dyDescent="0.25">
      <c r="A37" s="1"/>
      <c r="B37" s="27" t="s">
        <v>145</v>
      </c>
      <c r="C37" s="28">
        <f>-C35*'Fane 14. Nøgletal'!C27</f>
        <v>0</v>
      </c>
      <c r="D37" s="29" t="s">
        <v>3</v>
      </c>
      <c r="E37" s="28">
        <f>-E35*'Fane 14. Nøgletal'!C22</f>
        <v>0</v>
      </c>
      <c r="F37" s="29" t="s">
        <v>3</v>
      </c>
      <c r="G37" s="1"/>
    </row>
    <row r="38" spans="1:7" x14ac:dyDescent="0.25">
      <c r="A38" s="1"/>
      <c r="B38" s="38" t="s">
        <v>224</v>
      </c>
      <c r="C38" s="12">
        <f>SUM(C35:C37)*(1+'Fane 14. Nøgletal'!C13)^5</f>
        <v>0</v>
      </c>
      <c r="D38" s="13" t="s">
        <v>3</v>
      </c>
      <c r="E38" s="12">
        <f>SUM(E35:E37)*(1+'Fane 14.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nIX5Q/7VwEiAlXB+U6vrL42EBBxw61ZLrS9b9itHNg8VkWox56fDYeSsgUl39mU/8h86apN8EEU6FU3tA6g/2A==" saltValue="v4/LY79+h7JMofoLb7+pw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169</v>
      </c>
      <c r="C3" s="91"/>
      <c r="D3" s="91"/>
      <c r="E3" s="91"/>
      <c r="F3" s="91"/>
      <c r="G3" s="1"/>
    </row>
    <row r="4" spans="1:7" ht="1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91"/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125</v>
      </c>
      <c r="C8" s="89"/>
      <c r="D8" s="89"/>
      <c r="E8" s="89"/>
      <c r="F8" s="90"/>
      <c r="G8" s="1"/>
    </row>
    <row r="9" spans="1:7" x14ac:dyDescent="0.25">
      <c r="A9" s="1"/>
      <c r="B9" s="111" t="s">
        <v>207</v>
      </c>
      <c r="C9" s="112"/>
      <c r="D9" s="113"/>
      <c r="E9" s="9">
        <v>0</v>
      </c>
      <c r="F9" s="14" t="s">
        <v>3</v>
      </c>
      <c r="G9" s="1"/>
    </row>
    <row r="10" spans="1:7" x14ac:dyDescent="0.25">
      <c r="A10" s="1"/>
      <c r="B10" s="82" t="s">
        <v>10</v>
      </c>
      <c r="C10" s="83"/>
      <c r="D10" s="84"/>
      <c r="E10" s="9">
        <f>-E9*'Fane 5. Individuelt eff. krav'!G11</f>
        <v>0</v>
      </c>
      <c r="F10" s="14" t="s">
        <v>3</v>
      </c>
      <c r="G10" s="1"/>
    </row>
    <row r="11" spans="1:7" x14ac:dyDescent="0.25">
      <c r="A11" s="1"/>
      <c r="B11" s="82" t="s">
        <v>29</v>
      </c>
      <c r="C11" s="83"/>
      <c r="D11" s="84"/>
      <c r="E11" s="9">
        <f>-E9*'Fane 14. Nøgletal'!C27</f>
        <v>0</v>
      </c>
      <c r="F11" s="14" t="s">
        <v>3</v>
      </c>
      <c r="G11" s="1"/>
    </row>
    <row r="12" spans="1:7" x14ac:dyDescent="0.25">
      <c r="A12" s="1"/>
      <c r="B12" s="88" t="s">
        <v>128</v>
      </c>
      <c r="C12" s="89"/>
      <c r="D12" s="90"/>
      <c r="E12" s="12">
        <f>SUM(E9:E11)*(1+'Fane 14. Nøgletal'!C13)^2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8" t="s">
        <v>126</v>
      </c>
      <c r="C14" s="89"/>
      <c r="D14" s="89"/>
      <c r="E14" s="89"/>
      <c r="F14" s="90"/>
      <c r="G14" s="1"/>
    </row>
    <row r="15" spans="1:7" x14ac:dyDescent="0.25">
      <c r="A15" s="1"/>
      <c r="B15" s="111" t="s">
        <v>207</v>
      </c>
      <c r="C15" s="112"/>
      <c r="D15" s="113"/>
      <c r="E15" s="9">
        <v>0</v>
      </c>
      <c r="F15" s="14" t="s">
        <v>3</v>
      </c>
      <c r="G15" s="1"/>
    </row>
    <row r="16" spans="1:7" x14ac:dyDescent="0.25">
      <c r="A16" s="1"/>
      <c r="B16" s="82" t="s">
        <v>10</v>
      </c>
      <c r="C16" s="83"/>
      <c r="D16" s="84"/>
      <c r="E16" s="9">
        <f>-E15*'Fane 5. Individuelt eff. krav'!G11</f>
        <v>0</v>
      </c>
      <c r="F16" s="14" t="s">
        <v>3</v>
      </c>
      <c r="G16" s="1"/>
    </row>
    <row r="17" spans="1:7" x14ac:dyDescent="0.25">
      <c r="A17" s="1"/>
      <c r="B17" s="82" t="s">
        <v>29</v>
      </c>
      <c r="C17" s="83"/>
      <c r="D17" s="84"/>
      <c r="E17" s="9">
        <f>-E15*'Fane 14. Nøgletal'!C27</f>
        <v>0</v>
      </c>
      <c r="F17" s="14" t="s">
        <v>3</v>
      </c>
      <c r="G17" s="1"/>
    </row>
    <row r="18" spans="1:7" x14ac:dyDescent="0.25">
      <c r="A18" s="1"/>
      <c r="B18" s="88" t="s">
        <v>129</v>
      </c>
      <c r="C18" s="89"/>
      <c r="D18" s="90"/>
      <c r="E18" s="12">
        <f>SUM(E15:E17)*(1+'Fane 14. Nøgletal'!C13)^3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8" t="s">
        <v>127</v>
      </c>
      <c r="C20" s="89"/>
      <c r="D20" s="89"/>
      <c r="E20" s="89"/>
      <c r="F20" s="90"/>
      <c r="G20" s="1"/>
    </row>
    <row r="21" spans="1:7" x14ac:dyDescent="0.25">
      <c r="A21" s="1"/>
      <c r="B21" s="111" t="s">
        <v>207</v>
      </c>
      <c r="C21" s="112"/>
      <c r="D21" s="113"/>
      <c r="E21" s="9">
        <v>0</v>
      </c>
      <c r="F21" s="14" t="s">
        <v>3</v>
      </c>
      <c r="G21" s="1"/>
    </row>
    <row r="22" spans="1:7" x14ac:dyDescent="0.25">
      <c r="A22" s="1"/>
      <c r="B22" s="82" t="s">
        <v>10</v>
      </c>
      <c r="C22" s="83"/>
      <c r="D22" s="84"/>
      <c r="E22" s="9">
        <f>-E21*'Fane 5. Individuelt eff. krav'!G11</f>
        <v>0</v>
      </c>
      <c r="F22" s="14" t="s">
        <v>3</v>
      </c>
      <c r="G22" s="1"/>
    </row>
    <row r="23" spans="1:7" x14ac:dyDescent="0.25">
      <c r="A23" s="1"/>
      <c r="B23" s="82" t="s">
        <v>29</v>
      </c>
      <c r="C23" s="83"/>
      <c r="D23" s="84"/>
      <c r="E23" s="9">
        <f>-E21*'Fane 14. Nøgletal'!C27</f>
        <v>0</v>
      </c>
      <c r="F23" s="14" t="s">
        <v>3</v>
      </c>
      <c r="G23" s="1"/>
    </row>
    <row r="24" spans="1:7" x14ac:dyDescent="0.25">
      <c r="A24" s="1"/>
      <c r="B24" s="88" t="s">
        <v>130</v>
      </c>
      <c r="C24" s="89"/>
      <c r="D24" s="90"/>
      <c r="E24" s="12">
        <f>SUM(E21:E23)*(1+'Fane 14. Nøgletal'!C13)^4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8" t="s">
        <v>208</v>
      </c>
      <c r="C26" s="89"/>
      <c r="D26" s="89"/>
      <c r="E26" s="89"/>
      <c r="F26" s="90"/>
      <c r="G26" s="1"/>
    </row>
    <row r="27" spans="1:7" x14ac:dyDescent="0.25">
      <c r="A27" s="1"/>
      <c r="B27" s="111" t="s">
        <v>207</v>
      </c>
      <c r="C27" s="112"/>
      <c r="D27" s="113"/>
      <c r="E27" s="9">
        <v>0</v>
      </c>
      <c r="F27" s="14" t="s">
        <v>3</v>
      </c>
      <c r="G27" s="1"/>
    </row>
    <row r="28" spans="1:7" x14ac:dyDescent="0.25">
      <c r="A28" s="1"/>
      <c r="B28" s="82" t="s">
        <v>10</v>
      </c>
      <c r="C28" s="83"/>
      <c r="D28" s="84"/>
      <c r="E28" s="9">
        <f>-E27*'Fane 5. Individuelt eff. krav'!G11</f>
        <v>0</v>
      </c>
      <c r="F28" s="14" t="s">
        <v>3</v>
      </c>
      <c r="G28" s="1"/>
    </row>
    <row r="29" spans="1:7" x14ac:dyDescent="0.25">
      <c r="A29" s="1"/>
      <c r="B29" s="82" t="s">
        <v>29</v>
      </c>
      <c r="C29" s="83"/>
      <c r="D29" s="84"/>
      <c r="E29" s="9">
        <f>-E27*'Fane 14. Nøgletal'!C27</f>
        <v>0</v>
      </c>
      <c r="F29" s="14" t="s">
        <v>3</v>
      </c>
      <c r="G29" s="1"/>
    </row>
    <row r="30" spans="1:7" x14ac:dyDescent="0.25">
      <c r="A30" s="1"/>
      <c r="B30" s="88" t="s">
        <v>209</v>
      </c>
      <c r="C30" s="89"/>
      <c r="D30" s="90"/>
      <c r="E30" s="12">
        <f>SUM(E27:E29)*(1+'Fane 14. Nøgletal'!C13)^5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hsOclc8fMVbVOofOY6h8zcqWvuYUZUlp85gBgbSllI1+wIDn4qGoja641WTNBlcMDcbyNaCe/JS/3/KAjAG8ug==" saltValue="XcAaDHFnX7ORrJ787brGLg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210</v>
      </c>
      <c r="C3" s="91"/>
      <c r="D3" s="91"/>
      <c r="E3" s="91"/>
      <c r="F3" s="91"/>
      <c r="G3" s="1"/>
    </row>
    <row r="4" spans="1:7" ht="25.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211</v>
      </c>
      <c r="C8" s="89"/>
      <c r="D8" s="89"/>
      <c r="E8" s="89"/>
      <c r="F8" s="90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166</v>
      </c>
      <c r="C3" s="91"/>
      <c r="D3" s="91"/>
      <c r="E3" s="91"/>
      <c r="F3" s="91"/>
      <c r="G3" s="1"/>
    </row>
    <row r="4" spans="1:7" ht="25.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8" t="s">
        <v>132</v>
      </c>
      <c r="C8" s="89"/>
      <c r="D8" s="89"/>
      <c r="E8" s="89"/>
      <c r="F8" s="90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268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8" t="s">
        <v>131</v>
      </c>
      <c r="C14" s="89"/>
      <c r="D14" s="89"/>
      <c r="E14" s="89"/>
      <c r="F14" s="90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268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8" t="s">
        <v>133</v>
      </c>
      <c r="C20" s="89"/>
      <c r="D20" s="89"/>
      <c r="E20" s="89"/>
      <c r="F20" s="90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268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8" t="s">
        <v>227</v>
      </c>
      <c r="C26" s="89"/>
      <c r="D26" s="89"/>
      <c r="E26" s="89"/>
      <c r="F26" s="90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268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1" t="s">
        <v>257</v>
      </c>
      <c r="C3" s="91"/>
      <c r="D3" s="1"/>
    </row>
    <row r="4" spans="1:4" ht="25.5" customHeight="1" x14ac:dyDescent="0.25">
      <c r="A4" s="1"/>
      <c r="B4" s="91"/>
      <c r="C4" s="91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6" t="s">
        <v>170</v>
      </c>
      <c r="C9" s="26">
        <v>1.2699999999999999E-2</v>
      </c>
      <c r="D9" s="1"/>
    </row>
    <row r="10" spans="1:4" x14ac:dyDescent="0.25">
      <c r="A10" s="1"/>
      <c r="B10" s="56" t="s">
        <v>171</v>
      </c>
      <c r="C10" s="26">
        <v>1.7500000000000002E-2</v>
      </c>
      <c r="D10" s="1"/>
    </row>
    <row r="11" spans="1:4" x14ac:dyDescent="0.25">
      <c r="A11" s="1"/>
      <c r="B11" s="56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6" t="s">
        <v>173</v>
      </c>
      <c r="C18" s="23">
        <v>9.1000000000000004E-3</v>
      </c>
      <c r="D18" s="1"/>
    </row>
    <row r="19" spans="1:4" x14ac:dyDescent="0.25">
      <c r="A19" s="1"/>
      <c r="B19" s="56" t="s">
        <v>174</v>
      </c>
      <c r="C19" s="23">
        <v>1.77E-2</v>
      </c>
      <c r="D19" s="1"/>
    </row>
    <row r="20" spans="1:4" x14ac:dyDescent="0.25">
      <c r="A20" s="1"/>
      <c r="B20" s="56" t="s">
        <v>175</v>
      </c>
      <c r="C20" s="23">
        <v>8.6999999999999994E-3</v>
      </c>
      <c r="D20" s="1"/>
    </row>
    <row r="21" spans="1:4" x14ac:dyDescent="0.25">
      <c r="A21" s="1"/>
      <c r="B21" s="56" t="s">
        <v>176</v>
      </c>
      <c r="C21" s="41">
        <v>2.8400000000000002E-2</v>
      </c>
      <c r="D21" s="1"/>
    </row>
    <row r="22" spans="1:4" x14ac:dyDescent="0.25">
      <c r="A22" s="1"/>
      <c r="B22" s="56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6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7" t="s">
        <v>185</v>
      </c>
      <c r="C3" s="77"/>
      <c r="D3" s="77"/>
      <c r="E3" s="1"/>
    </row>
    <row r="4" spans="1:5" ht="15" customHeight="1" x14ac:dyDescent="0.25">
      <c r="A4" s="1"/>
      <c r="B4" s="77"/>
      <c r="C4" s="77"/>
      <c r="D4" s="77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18972809.995687805</v>
      </c>
      <c r="D9" s="8" t="s">
        <v>3</v>
      </c>
      <c r="E9" s="1"/>
    </row>
    <row r="10" spans="1:5" ht="17.100000000000001" customHeight="1" x14ac:dyDescent="0.25">
      <c r="A10" s="1"/>
      <c r="B10" s="50" t="s">
        <v>48</v>
      </c>
      <c r="C10" s="7">
        <f>'Fane 10.1. Varige tillæg'!C15</f>
        <v>23298.819599999999</v>
      </c>
      <c r="D10" s="8" t="s">
        <v>3</v>
      </c>
      <c r="E10" s="1"/>
    </row>
    <row r="11" spans="1:5" ht="17.100000000000001" customHeight="1" x14ac:dyDescent="0.25">
      <c r="A11" s="1"/>
      <c r="B11" s="50" t="s">
        <v>49</v>
      </c>
      <c r="C11" s="9">
        <f>'Fane 10.1. Varige tillæg'!E15</f>
        <v>1941111.1229999999</v>
      </c>
      <c r="D11" s="8" t="s">
        <v>3</v>
      </c>
      <c r="E11" s="1"/>
    </row>
    <row r="12" spans="1:5" ht="17.100000000000001" customHeight="1" x14ac:dyDescent="0.25">
      <c r="A12" s="1"/>
      <c r="B12" s="50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50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50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50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50" t="s">
        <v>20</v>
      </c>
      <c r="C16" s="9">
        <f>C9*'Fane 14. Nøgletal'!C12+SUM(C10:C15)*'Fane 14. Nøgletal'!C13</f>
        <v>397730.15821476973</v>
      </c>
      <c r="D16" s="8" t="s">
        <v>3</v>
      </c>
      <c r="E16" s="1"/>
    </row>
    <row r="17" spans="1:5" ht="17.100000000000001" customHeight="1" x14ac:dyDescent="0.25">
      <c r="A17" s="1"/>
      <c r="B17" s="50" t="s">
        <v>10</v>
      </c>
      <c r="C17" s="9">
        <f>-SUM(C9:C16)*'Fane 5. Individuelt eff. krav'!G11</f>
        <v>0</v>
      </c>
      <c r="D17" s="8" t="s">
        <v>3</v>
      </c>
      <c r="E17" s="1"/>
    </row>
    <row r="18" spans="1:5" ht="17.100000000000001" customHeight="1" x14ac:dyDescent="0.25">
      <c r="A18" s="1"/>
      <c r="B18" s="50" t="s">
        <v>29</v>
      </c>
      <c r="C18" s="9">
        <f>-'Fane 4.1. Gen. krav - drift'!G34</f>
        <v>-133654.80262356048</v>
      </c>
      <c r="D18" s="8" t="s">
        <v>3</v>
      </c>
      <c r="E18" s="1"/>
    </row>
    <row r="19" spans="1:5" ht="17.100000000000001" customHeight="1" x14ac:dyDescent="0.25">
      <c r="A19" s="1"/>
      <c r="B19" s="50" t="s">
        <v>30</v>
      </c>
      <c r="C19" s="9">
        <f>-'Fane 4.2. Gen. krav - anlæg'!G31</f>
        <v>-415609.03391811514</v>
      </c>
      <c r="D19" s="8" t="s">
        <v>3</v>
      </c>
      <c r="E19" s="1"/>
    </row>
    <row r="20" spans="1:5" ht="17.100000000000001" customHeight="1" x14ac:dyDescent="0.25">
      <c r="A20" s="1"/>
      <c r="B20" s="51" t="s">
        <v>22</v>
      </c>
      <c r="C20" s="10">
        <f>SUM(C9:C19)</f>
        <v>20785686.259960901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omk.'!C13+'Fane 6. Ikke-påvirkelige omk.'!C17+'Fane 6. Ikke-påvirkelige omk.'!C25</f>
        <v>12449411.377754081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1" t="s">
        <v>114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50" t="s">
        <v>109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25">
      <c r="A27" s="1"/>
      <c r="B27" s="50" t="s">
        <v>110</v>
      </c>
      <c r="C27" s="9">
        <f>'Fane 10.2. Engangstillæg'!E14</f>
        <v>0</v>
      </c>
      <c r="D27" s="8" t="s">
        <v>3</v>
      </c>
      <c r="E27" s="1"/>
    </row>
    <row r="28" spans="1:5" x14ac:dyDescent="0.25">
      <c r="A28" s="1"/>
      <c r="B28" s="51" t="s">
        <v>115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328553.15477501415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-16208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33547442.792489998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7" t="s">
        <v>188</v>
      </c>
      <c r="C3" s="77"/>
      <c r="D3" s="77"/>
      <c r="E3" s="1"/>
    </row>
    <row r="4" spans="1:5" ht="15" customHeight="1" x14ac:dyDescent="0.25">
      <c r="A4" s="1"/>
      <c r="B4" s="77"/>
      <c r="C4" s="77"/>
      <c r="D4" s="77"/>
      <c r="E4" s="1"/>
    </row>
    <row r="5" spans="1:5" x14ac:dyDescent="0.25">
      <c r="A5" s="1"/>
      <c r="B5" s="78" t="s">
        <v>23</v>
      </c>
      <c r="C5" s="78"/>
      <c r="D5" s="78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20785686.259960901</v>
      </c>
      <c r="D9" s="8" t="s">
        <v>3</v>
      </c>
      <c r="E9" s="1"/>
    </row>
    <row r="10" spans="1:5" ht="15" customHeight="1" x14ac:dyDescent="0.25">
      <c r="A10" s="1"/>
      <c r="B10" s="50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50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253585.372371523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-132579.68339125655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-397512.55246788176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20509179.396473285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omk.'!C13*(1+'Fane 14. Nøgletal'!C13)+'Fane 6. Ikke-påvirkelige omk.'!C18+'Fane 6. Ikke-påvirkelige omk.'!C26</f>
        <v>12601138.409762681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1" t="s">
        <v>114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50" t="s">
        <v>109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25">
      <c r="A23" s="1"/>
      <c r="B23" s="50" t="s">
        <v>110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25">
      <c r="A24" s="1"/>
      <c r="B24" s="51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33110317.806235965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7" t="s">
        <v>189</v>
      </c>
      <c r="C3" s="77"/>
      <c r="D3" s="77"/>
      <c r="E3" s="1"/>
    </row>
    <row r="4" spans="1:5" ht="15" customHeight="1" x14ac:dyDescent="0.25">
      <c r="A4" s="1"/>
      <c r="B4" s="77"/>
      <c r="C4" s="77"/>
      <c r="D4" s="77"/>
      <c r="E4" s="1"/>
    </row>
    <row r="5" spans="1:5" x14ac:dyDescent="0.25">
      <c r="A5" s="1"/>
      <c r="B5" s="78" t="s">
        <v>23</v>
      </c>
      <c r="C5" s="78"/>
      <c r="D5" s="78"/>
      <c r="E5" s="1"/>
    </row>
    <row r="6" spans="1:5" x14ac:dyDescent="0.25">
      <c r="A6" s="1"/>
      <c r="B6" s="49"/>
      <c r="C6" s="49"/>
      <c r="D6" s="49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20509179.396473285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250211.9886369741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-131513.21241805729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-391297.24495377019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20236580.927738432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omk.'!C13*(1+'Fane 14. Nøgletal'!C13)^2+'Fane 6. Ikke-påvirkelige omk.'!C19+'Fane 6. Ikke-påvirkelige omk.'!C27</f>
        <v>12754717.986961786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1" t="s">
        <v>114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50" t="s">
        <v>109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25">
      <c r="A23" s="1"/>
      <c r="B23" s="50" t="s">
        <v>110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25">
      <c r="A24" s="1"/>
      <c r="B24" s="51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32991298.914700218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7" t="s">
        <v>191</v>
      </c>
      <c r="C3" s="77"/>
      <c r="D3" s="77"/>
      <c r="E3" s="1"/>
    </row>
    <row r="4" spans="1:5" ht="15" customHeight="1" x14ac:dyDescent="0.25">
      <c r="A4" s="1"/>
      <c r="B4" s="77"/>
      <c r="C4" s="77"/>
      <c r="D4" s="77"/>
      <c r="E4" s="1"/>
    </row>
    <row r="5" spans="1:5" x14ac:dyDescent="0.25">
      <c r="A5" s="1"/>
      <c r="B5" s="78" t="s">
        <v>23</v>
      </c>
      <c r="C5" s="78"/>
      <c r="D5" s="78"/>
      <c r="E5" s="1"/>
    </row>
    <row r="6" spans="1:5" x14ac:dyDescent="0.25">
      <c r="A6" s="1"/>
      <c r="B6" s="49"/>
      <c r="C6" s="49"/>
      <c r="D6" s="49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20236580.927738432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246886.2873184089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0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-130455.32013736643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-385179.11688029551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19967832.77803918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omk.'!C13*(1+'Fane 14. Nøgletal'!C13)^3+'Fane 6. Ikke-påvirkelige omk.'!C20+'Fane 6. Ikke-påvirkelige omk.'!C28</f>
        <v>12910170.68600272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1" t="s">
        <v>114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50" t="s">
        <v>109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25">
      <c r="A23" s="1"/>
      <c r="B23" s="50" t="s">
        <v>110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25">
      <c r="A24" s="1"/>
      <c r="B24" s="51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32878003.4640419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1" t="s">
        <v>194</v>
      </c>
      <c r="C3" s="91"/>
      <c r="D3" s="91"/>
      <c r="E3" s="91"/>
      <c r="F3" s="91"/>
      <c r="G3" s="1"/>
    </row>
    <row r="4" spans="1:7" ht="29.25" customHeight="1" x14ac:dyDescent="0.25">
      <c r="A4" s="1"/>
      <c r="B4" s="91"/>
      <c r="C4" s="91"/>
      <c r="D4" s="91"/>
      <c r="E4" s="91"/>
      <c r="F4" s="9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79" t="s">
        <v>25</v>
      </c>
      <c r="C9" s="80"/>
      <c r="D9" s="81"/>
      <c r="E9" s="7">
        <v>18966304.297377057</v>
      </c>
      <c r="F9" s="8" t="s">
        <v>3</v>
      </c>
      <c r="G9" s="1"/>
    </row>
    <row r="10" spans="1:7" ht="15" customHeight="1" x14ac:dyDescent="0.25">
      <c r="A10" s="1"/>
      <c r="B10" s="82" t="s">
        <v>48</v>
      </c>
      <c r="C10" s="83"/>
      <c r="D10" s="84"/>
      <c r="E10" s="7">
        <v>124495.17300000001</v>
      </c>
      <c r="F10" s="8" t="s">
        <v>3</v>
      </c>
      <c r="G10" s="1"/>
    </row>
    <row r="11" spans="1:7" ht="15" customHeight="1" x14ac:dyDescent="0.25">
      <c r="A11" s="1"/>
      <c r="B11" s="82" t="s">
        <v>49</v>
      </c>
      <c r="C11" s="83"/>
      <c r="D11" s="84"/>
      <c r="E11" s="9">
        <v>4073.7015000000001</v>
      </c>
      <c r="F11" s="8" t="s">
        <v>3</v>
      </c>
      <c r="G11" s="1"/>
    </row>
    <row r="12" spans="1:7" ht="15" customHeight="1" x14ac:dyDescent="0.25">
      <c r="A12" s="1"/>
      <c r="B12" s="82" t="s">
        <v>32</v>
      </c>
      <c r="C12" s="83"/>
      <c r="D12" s="84"/>
      <c r="E12" s="9">
        <v>0</v>
      </c>
      <c r="F12" s="8" t="s">
        <v>3</v>
      </c>
      <c r="G12" s="1"/>
    </row>
    <row r="13" spans="1:7" ht="15" customHeight="1" x14ac:dyDescent="0.25">
      <c r="A13" s="1"/>
      <c r="B13" s="79" t="s">
        <v>31</v>
      </c>
      <c r="C13" s="80"/>
      <c r="D13" s="81"/>
      <c r="E13" s="9">
        <v>0</v>
      </c>
      <c r="F13" s="8" t="s">
        <v>3</v>
      </c>
      <c r="G13" s="1"/>
    </row>
    <row r="14" spans="1:7" ht="15" customHeight="1" x14ac:dyDescent="0.25">
      <c r="A14" s="1"/>
      <c r="B14" s="79" t="s">
        <v>34</v>
      </c>
      <c r="C14" s="80"/>
      <c r="D14" s="81"/>
      <c r="E14" s="9">
        <v>0</v>
      </c>
      <c r="F14" s="8" t="s">
        <v>3</v>
      </c>
      <c r="G14" s="1"/>
    </row>
    <row r="15" spans="1:7" ht="15" customHeight="1" x14ac:dyDescent="0.25">
      <c r="A15" s="1"/>
      <c r="B15" s="79" t="s">
        <v>33</v>
      </c>
      <c r="C15" s="80"/>
      <c r="D15" s="81"/>
      <c r="E15" s="9">
        <v>0</v>
      </c>
      <c r="F15" s="8" t="s">
        <v>3</v>
      </c>
      <c r="G15" s="1"/>
    </row>
    <row r="16" spans="1:7" ht="15" customHeight="1" x14ac:dyDescent="0.25">
      <c r="A16" s="1"/>
      <c r="B16" s="79" t="s">
        <v>20</v>
      </c>
      <c r="C16" s="80"/>
      <c r="D16" s="81"/>
      <c r="E16" s="9">
        <f>SUM(E9:E15)*'Fane 14. Nøgletal'!C12</f>
        <v>376169.00148597796</v>
      </c>
      <c r="F16" s="8" t="s">
        <v>3</v>
      </c>
      <c r="G16" s="1"/>
    </row>
    <row r="17" spans="1:7" ht="15" customHeight="1" x14ac:dyDescent="0.25">
      <c r="A17" s="1"/>
      <c r="B17" s="79" t="s">
        <v>10</v>
      </c>
      <c r="C17" s="80"/>
      <c r="D17" s="81"/>
      <c r="E17" s="9">
        <f>-SUM(E9:E16)*'Fane 5. Individuelt eff. krav'!G11</f>
        <v>0</v>
      </c>
      <c r="F17" s="8" t="s">
        <v>3</v>
      </c>
      <c r="G17" s="1"/>
    </row>
    <row r="18" spans="1:7" ht="15" customHeight="1" x14ac:dyDescent="0.25">
      <c r="A18" s="1"/>
      <c r="B18" s="79" t="s">
        <v>29</v>
      </c>
      <c r="C18" s="80"/>
      <c r="D18" s="81"/>
      <c r="E18" s="9">
        <f>-'Fane 4.1. Gen. krav - drift'!G28</f>
        <v>-133275.63460999742</v>
      </c>
      <c r="F18" s="8" t="s">
        <v>3</v>
      </c>
      <c r="G18" s="1"/>
    </row>
    <row r="19" spans="1:7" ht="15" customHeight="1" x14ac:dyDescent="0.25">
      <c r="A19" s="1"/>
      <c r="B19" s="79" t="s">
        <v>30</v>
      </c>
      <c r="C19" s="80"/>
      <c r="D19" s="81"/>
      <c r="E19" s="9">
        <f>-'Fane 4.2. Gen. krav - anlæg'!G25</f>
        <v>-364956.5430652303</v>
      </c>
      <c r="F19" s="8" t="s">
        <v>3</v>
      </c>
      <c r="G19" s="1"/>
    </row>
    <row r="20" spans="1:7" ht="15" customHeight="1" x14ac:dyDescent="0.25">
      <c r="A20" s="1"/>
      <c r="B20" s="51" t="s">
        <v>22</v>
      </c>
      <c r="C20" s="52"/>
      <c r="D20" s="57"/>
      <c r="E20" s="10">
        <f>SUM(E9:E19)</f>
        <v>18972809.995687805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5" t="s">
        <v>13</v>
      </c>
      <c r="C22" s="86"/>
      <c r="D22" s="87"/>
      <c r="E22" s="10">
        <v>11826978.28029447</v>
      </c>
      <c r="F22" s="11" t="s">
        <v>3</v>
      </c>
      <c r="G22" s="1"/>
    </row>
    <row r="23" spans="1:7" ht="15" customHeight="1" x14ac:dyDescent="0.25">
      <c r="A23" s="1"/>
      <c r="B23" s="88" t="s">
        <v>114</v>
      </c>
      <c r="C23" s="89"/>
      <c r="D23" s="90"/>
      <c r="E23" s="32"/>
      <c r="F23" s="32"/>
      <c r="G23" s="1"/>
    </row>
    <row r="24" spans="1:7" ht="15" customHeight="1" x14ac:dyDescent="0.25">
      <c r="A24" s="1"/>
      <c r="B24" s="51" t="s">
        <v>114</v>
      </c>
      <c r="C24" s="44"/>
      <c r="D24" s="45"/>
      <c r="E24" s="10">
        <v>0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2" t="s">
        <v>109</v>
      </c>
      <c r="C26" s="83"/>
      <c r="D26" s="84"/>
      <c r="E26" s="9">
        <v>1264071.4208010901</v>
      </c>
      <c r="F26" s="8" t="s">
        <v>3</v>
      </c>
      <c r="G26" s="1"/>
    </row>
    <row r="27" spans="1:7" ht="15" customHeight="1" x14ac:dyDescent="0.25">
      <c r="A27" s="1"/>
      <c r="B27" s="82" t="s">
        <v>110</v>
      </c>
      <c r="C27" s="83"/>
      <c r="D27" s="83"/>
      <c r="E27" s="9">
        <v>0</v>
      </c>
      <c r="F27" s="8" t="s">
        <v>3</v>
      </c>
      <c r="G27" s="1"/>
    </row>
    <row r="28" spans="1:7" ht="15" customHeight="1" x14ac:dyDescent="0.25">
      <c r="A28" s="1"/>
      <c r="B28" s="92" t="s">
        <v>115</v>
      </c>
      <c r="C28" s="93"/>
      <c r="D28" s="93"/>
      <c r="E28" s="46">
        <v>1238789.9923850682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5" t="s">
        <v>260</v>
      </c>
      <c r="C30" s="86"/>
      <c r="D30" s="86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5" t="s">
        <v>262</v>
      </c>
      <c r="C32" s="86"/>
      <c r="D32" s="86"/>
      <c r="E32" s="46">
        <v>-328553.15477501415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5" t="s">
        <v>264</v>
      </c>
      <c r="C34" s="86"/>
      <c r="D34" s="87"/>
      <c r="E34" s="10">
        <v>10631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31720656.113592327</v>
      </c>
      <c r="F35" s="13" t="s">
        <v>3</v>
      </c>
      <c r="G35" s="1"/>
    </row>
    <row r="36" spans="1:7" ht="27" customHeight="1" x14ac:dyDescent="0.25">
      <c r="A36" s="1"/>
      <c r="B36" s="79" t="s">
        <v>218</v>
      </c>
      <c r="C36" s="80"/>
      <c r="D36" s="80"/>
      <c r="E36" s="80"/>
      <c r="F36" s="8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36:F36"/>
    <mergeCell ref="B27:D27"/>
    <mergeCell ref="B28:D28"/>
    <mergeCell ref="B32:D32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6:D26"/>
    <mergeCell ref="B34:D34"/>
    <mergeCell ref="B22:D22"/>
    <mergeCell ref="B23:D2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91" t="s">
        <v>163</v>
      </c>
      <c r="C2" s="91"/>
      <c r="D2" s="91"/>
      <c r="E2" s="91"/>
      <c r="F2" s="91"/>
      <c r="G2" s="91"/>
      <c r="H2" s="91"/>
      <c r="I2" s="1"/>
    </row>
    <row r="3" spans="1:9" ht="28.5" customHeight="1" x14ac:dyDescent="0.25">
      <c r="A3" s="1"/>
      <c r="B3" s="91"/>
      <c r="C3" s="91"/>
      <c r="D3" s="91"/>
      <c r="E3" s="91"/>
      <c r="F3" s="91"/>
      <c r="G3" s="91"/>
      <c r="H3" s="91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88" t="s">
        <v>67</v>
      </c>
      <c r="C5" s="89"/>
      <c r="D5" s="89"/>
      <c r="E5" s="89"/>
      <c r="F5" s="89"/>
      <c r="G5" s="89"/>
      <c r="H5" s="90"/>
      <c r="I5" s="1"/>
    </row>
    <row r="6" spans="1:9" x14ac:dyDescent="0.25">
      <c r="A6" s="1"/>
      <c r="B6" s="94" t="s">
        <v>56</v>
      </c>
      <c r="C6" s="95"/>
      <c r="D6" s="95"/>
      <c r="E6" s="95"/>
      <c r="F6" s="96"/>
      <c r="G6" s="24">
        <v>6595718.8470146842</v>
      </c>
      <c r="H6" s="14" t="s">
        <v>3</v>
      </c>
      <c r="I6" s="1"/>
    </row>
    <row r="7" spans="1:9" x14ac:dyDescent="0.25">
      <c r="A7" s="1"/>
      <c r="B7" s="79" t="s">
        <v>181</v>
      </c>
      <c r="C7" s="80"/>
      <c r="D7" s="80"/>
      <c r="E7" s="80"/>
      <c r="F7" s="81"/>
      <c r="G7" s="24">
        <v>0</v>
      </c>
      <c r="H7" s="14" t="s">
        <v>3</v>
      </c>
      <c r="I7" s="1"/>
    </row>
    <row r="8" spans="1:9" x14ac:dyDescent="0.25">
      <c r="A8" s="1"/>
      <c r="B8" s="94" t="s">
        <v>57</v>
      </c>
      <c r="C8" s="95"/>
      <c r="D8" s="95"/>
      <c r="E8" s="95"/>
      <c r="F8" s="96"/>
      <c r="G8" s="24">
        <f>SUM(G6:G7)*'Fane 14. Nøgletal'!C27</f>
        <v>131914.37694029367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88" t="s">
        <v>68</v>
      </c>
      <c r="C11" s="89"/>
      <c r="D11" s="89"/>
      <c r="E11" s="89"/>
      <c r="F11" s="89"/>
      <c r="G11" s="89"/>
      <c r="H11" s="90"/>
      <c r="I11" s="1"/>
    </row>
    <row r="12" spans="1:9" x14ac:dyDescent="0.25">
      <c r="A12" s="1"/>
      <c r="B12" s="94" t="s">
        <v>58</v>
      </c>
      <c r="C12" s="95"/>
      <c r="D12" s="95"/>
      <c r="E12" s="95"/>
      <c r="F12" s="96"/>
      <c r="G12" s="24">
        <f>(G6-G8)*(1+'Fane 14. Nøgletal'!C10)</f>
        <v>6576921.0483006937</v>
      </c>
      <c r="H12" s="14" t="s">
        <v>3</v>
      </c>
      <c r="I12" s="1"/>
    </row>
    <row r="13" spans="1:9" ht="15" customHeight="1" x14ac:dyDescent="0.25">
      <c r="A13" s="1"/>
      <c r="B13" s="94" t="s">
        <v>182</v>
      </c>
      <c r="C13" s="95"/>
      <c r="D13" s="95"/>
      <c r="E13" s="95"/>
      <c r="F13" s="96"/>
      <c r="G13" s="24">
        <v>-16851.133091707863</v>
      </c>
      <c r="H13" s="14" t="s">
        <v>3</v>
      </c>
      <c r="I13" s="1"/>
    </row>
    <row r="14" spans="1:9" x14ac:dyDescent="0.25">
      <c r="A14" s="1"/>
      <c r="B14" s="79" t="s">
        <v>179</v>
      </c>
      <c r="C14" s="80"/>
      <c r="D14" s="80"/>
      <c r="E14" s="80"/>
      <c r="F14" s="81"/>
      <c r="G14" s="24">
        <v>0</v>
      </c>
      <c r="H14" s="14" t="s">
        <v>3</v>
      </c>
      <c r="I14" s="1"/>
    </row>
    <row r="15" spans="1:9" x14ac:dyDescent="0.25">
      <c r="A15" s="1"/>
      <c r="B15" s="97" t="s">
        <v>59</v>
      </c>
      <c r="C15" s="98"/>
      <c r="D15" s="98"/>
      <c r="E15" s="98"/>
      <c r="F15" s="99"/>
      <c r="G15" s="24">
        <v>0</v>
      </c>
      <c r="H15" s="14" t="s">
        <v>3</v>
      </c>
      <c r="I15" s="1"/>
    </row>
    <row r="16" spans="1:9" x14ac:dyDescent="0.25">
      <c r="A16" s="1"/>
      <c r="B16" s="94" t="s">
        <v>60</v>
      </c>
      <c r="C16" s="95"/>
      <c r="D16" s="95"/>
      <c r="E16" s="95"/>
      <c r="F16" s="96"/>
      <c r="G16" s="24">
        <f>SUM(G12:G15)*'Fane 14. Nøgletal'!C27</f>
        <v>131201.39830417972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88" t="s">
        <v>69</v>
      </c>
      <c r="C19" s="89"/>
      <c r="D19" s="89"/>
      <c r="E19" s="89"/>
      <c r="F19" s="89"/>
      <c r="G19" s="89"/>
      <c r="H19" s="90"/>
      <c r="I19" s="1"/>
    </row>
    <row r="20" spans="1:9" x14ac:dyDescent="0.25">
      <c r="A20" s="1"/>
      <c r="B20" s="94" t="s">
        <v>61</v>
      </c>
      <c r="C20" s="95"/>
      <c r="D20" s="95"/>
      <c r="E20" s="95"/>
      <c r="F20" s="96"/>
      <c r="G20" s="24">
        <f>(SUM(G12:G13,G15)-(G16))*(1+'Fane 14. Nøgletal'!C10)</f>
        <v>6541373.7159506408</v>
      </c>
      <c r="H20" s="14" t="s">
        <v>3</v>
      </c>
      <c r="I20" s="1"/>
    </row>
    <row r="21" spans="1:9" x14ac:dyDescent="0.25">
      <c r="A21" s="1"/>
      <c r="B21" s="97" t="s">
        <v>62</v>
      </c>
      <c r="C21" s="98"/>
      <c r="D21" s="98"/>
      <c r="E21" s="98"/>
      <c r="F21" s="99"/>
      <c r="G21" s="24">
        <v>0</v>
      </c>
      <c r="H21" s="14" t="s">
        <v>3</v>
      </c>
      <c r="I21" s="1"/>
    </row>
    <row r="22" spans="1:9" x14ac:dyDescent="0.25">
      <c r="A22" s="1"/>
      <c r="B22" s="94" t="s">
        <v>63</v>
      </c>
      <c r="C22" s="95"/>
      <c r="D22" s="95"/>
      <c r="E22" s="95"/>
      <c r="F22" s="96"/>
      <c r="G22" s="24">
        <f>SUM(G20:G21)*'Fane 14. Nøgletal'!C27</f>
        <v>130827.47431901282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88" t="s">
        <v>70</v>
      </c>
      <c r="C25" s="89"/>
      <c r="D25" s="89"/>
      <c r="E25" s="89"/>
      <c r="F25" s="89"/>
      <c r="G25" s="89"/>
      <c r="H25" s="90"/>
      <c r="I25" s="1"/>
    </row>
    <row r="26" spans="1:9" x14ac:dyDescent="0.25">
      <c r="A26" s="1"/>
      <c r="B26" s="94" t="s">
        <v>64</v>
      </c>
      <c r="C26" s="95"/>
      <c r="D26" s="95"/>
      <c r="E26" s="95"/>
      <c r="F26" s="96"/>
      <c r="G26" s="24">
        <f>(G20+G21-G22)*(1+'Fane 14. Nøgletal'!C12)</f>
        <v>6536834.0025917711</v>
      </c>
      <c r="H26" s="14" t="s">
        <v>3</v>
      </c>
      <c r="I26" s="1"/>
    </row>
    <row r="27" spans="1:9" x14ac:dyDescent="0.25">
      <c r="A27" s="1"/>
      <c r="B27" s="97" t="s">
        <v>65</v>
      </c>
      <c r="C27" s="98"/>
      <c r="D27" s="98"/>
      <c r="E27" s="98"/>
      <c r="F27" s="99"/>
      <c r="G27" s="24">
        <v>126947.72790810002</v>
      </c>
      <c r="H27" s="14" t="s">
        <v>3</v>
      </c>
      <c r="I27" s="1"/>
    </row>
    <row r="28" spans="1:9" x14ac:dyDescent="0.25">
      <c r="A28" s="1"/>
      <c r="B28" s="94" t="s">
        <v>66</v>
      </c>
      <c r="C28" s="95"/>
      <c r="D28" s="95"/>
      <c r="E28" s="95"/>
      <c r="F28" s="96"/>
      <c r="G28" s="24">
        <f>(G26+G27)*'Fane 14. Nøgletal'!C27</f>
        <v>133275.63460999742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88" t="s">
        <v>73</v>
      </c>
      <c r="C31" s="89"/>
      <c r="D31" s="89"/>
      <c r="E31" s="89"/>
      <c r="F31" s="89"/>
      <c r="G31" s="89"/>
      <c r="H31" s="90"/>
      <c r="I31" s="1"/>
    </row>
    <row r="32" spans="1:9" x14ac:dyDescent="0.25">
      <c r="A32" s="1"/>
      <c r="B32" s="94" t="s">
        <v>74</v>
      </c>
      <c r="C32" s="95"/>
      <c r="D32" s="95"/>
      <c r="E32" s="95"/>
      <c r="F32" s="96"/>
      <c r="G32" s="24">
        <f>(G26+G27-G28)*(1+'Fane 14. Nøgletal'!C12)</f>
        <v>6659157.0659789043</v>
      </c>
      <c r="H32" s="14" t="s">
        <v>3</v>
      </c>
      <c r="I32" s="1"/>
    </row>
    <row r="33" spans="1:9" x14ac:dyDescent="0.25">
      <c r="A33" s="1"/>
      <c r="B33" s="94" t="s">
        <v>230</v>
      </c>
      <c r="C33" s="95"/>
      <c r="D33" s="95"/>
      <c r="E33" s="95"/>
      <c r="F33" s="96"/>
      <c r="G33" s="24">
        <f>SUM('Fane 2.1. Økonomisk ramme 2021'!C10,'Fane 2.1. Økonomisk ramme 2021'!C12,'Fane 2.1. Økonomisk ramme 2021'!C14)*(1+'Fane 14. Nøgletal'!C13)</f>
        <v>23583.065199119999</v>
      </c>
      <c r="H33" s="14" t="s">
        <v>3</v>
      </c>
      <c r="I33" s="1"/>
    </row>
    <row r="34" spans="1:9" x14ac:dyDescent="0.25">
      <c r="A34" s="1"/>
      <c r="B34" s="94" t="s">
        <v>75</v>
      </c>
      <c r="C34" s="95"/>
      <c r="D34" s="95"/>
      <c r="E34" s="95"/>
      <c r="F34" s="96"/>
      <c r="G34" s="24">
        <f>(G32+G33)*'Fane 14. Nøgletal'!C27</f>
        <v>133654.80262356048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88" t="s">
        <v>100</v>
      </c>
      <c r="C37" s="89"/>
      <c r="D37" s="89"/>
      <c r="E37" s="89"/>
      <c r="F37" s="89"/>
      <c r="G37" s="89"/>
      <c r="H37" s="90"/>
      <c r="I37" s="1"/>
    </row>
    <row r="38" spans="1:9" x14ac:dyDescent="0.25">
      <c r="A38" s="1"/>
      <c r="B38" s="94" t="s">
        <v>99</v>
      </c>
      <c r="C38" s="95"/>
      <c r="D38" s="95"/>
      <c r="E38" s="95"/>
      <c r="F38" s="96"/>
      <c r="G38" s="24">
        <f>(G32+G33-G34)*(1+'Fane 14. Nøgletal'!C13)</f>
        <v>6628984.1695628278</v>
      </c>
      <c r="H38" s="14" t="s">
        <v>3</v>
      </c>
      <c r="I38" s="1"/>
    </row>
    <row r="39" spans="1:9" x14ac:dyDescent="0.25">
      <c r="A39" s="1"/>
      <c r="B39" s="94" t="s">
        <v>117</v>
      </c>
      <c r="C39" s="95"/>
      <c r="D39" s="95"/>
      <c r="E39" s="95"/>
      <c r="F39" s="96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4" t="s">
        <v>76</v>
      </c>
      <c r="C40" s="95"/>
      <c r="D40" s="95"/>
      <c r="E40" s="95"/>
      <c r="F40" s="96"/>
      <c r="G40" s="24">
        <f>(G38+G39)*'Fane 14. Nøgletal'!C27</f>
        <v>132579.68339125655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88" t="s">
        <v>101</v>
      </c>
      <c r="C43" s="89"/>
      <c r="D43" s="89"/>
      <c r="E43" s="89"/>
      <c r="F43" s="89"/>
      <c r="G43" s="89"/>
      <c r="H43" s="90"/>
      <c r="I43" s="1"/>
    </row>
    <row r="44" spans="1:9" x14ac:dyDescent="0.25">
      <c r="A44" s="1"/>
      <c r="B44" s="94" t="s">
        <v>98</v>
      </c>
      <c r="C44" s="95"/>
      <c r="D44" s="95"/>
      <c r="E44" s="95"/>
      <c r="F44" s="96"/>
      <c r="G44" s="24">
        <f>(G38+G39-G40)*(1+'Fane 14. Nøgletal'!C13)</f>
        <v>6575660.6209028643</v>
      </c>
      <c r="H44" s="14" t="s">
        <v>3</v>
      </c>
      <c r="I44" s="1"/>
    </row>
    <row r="45" spans="1:9" x14ac:dyDescent="0.25">
      <c r="A45" s="1"/>
      <c r="B45" s="94" t="s">
        <v>118</v>
      </c>
      <c r="C45" s="95"/>
      <c r="D45" s="95"/>
      <c r="E45" s="95"/>
      <c r="F45" s="96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4" t="s">
        <v>77</v>
      </c>
      <c r="C46" s="95"/>
      <c r="D46" s="95"/>
      <c r="E46" s="95"/>
      <c r="F46" s="96"/>
      <c r="G46" s="24">
        <f>(G44+G45)*'Fane 14. Nøgletal'!C27</f>
        <v>131513.21241805729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88" t="s">
        <v>231</v>
      </c>
      <c r="C51" s="89"/>
      <c r="D51" s="89"/>
      <c r="E51" s="89"/>
      <c r="F51" s="89"/>
      <c r="G51" s="89"/>
      <c r="H51" s="90"/>
      <c r="I51" s="1"/>
    </row>
    <row r="52" spans="1:9" x14ac:dyDescent="0.25">
      <c r="A52" s="1"/>
      <c r="B52" s="94" t="s">
        <v>232</v>
      </c>
      <c r="C52" s="95"/>
      <c r="D52" s="95"/>
      <c r="E52" s="95"/>
      <c r="F52" s="96"/>
      <c r="G52" s="24">
        <f>(G44+G45-G46)*(1+'Fane 14. Nøgletal'!C13)</f>
        <v>6522766.0068683214</v>
      </c>
      <c r="H52" s="14" t="s">
        <v>3</v>
      </c>
      <c r="I52" s="1"/>
    </row>
    <row r="53" spans="1:9" x14ac:dyDescent="0.25">
      <c r="A53" s="1"/>
      <c r="B53" s="94" t="s">
        <v>233</v>
      </c>
      <c r="C53" s="95"/>
      <c r="D53" s="95"/>
      <c r="E53" s="95"/>
      <c r="F53" s="96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4" t="s">
        <v>234</v>
      </c>
      <c r="C54" s="95"/>
      <c r="D54" s="95"/>
      <c r="E54" s="95"/>
      <c r="F54" s="96"/>
      <c r="G54" s="24">
        <f>(G52+G53)*'Fane 14. Nøgletal'!C27</f>
        <v>130455.32013736643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33:F33"/>
    <mergeCell ref="B34:F34"/>
    <mergeCell ref="B43:H43"/>
    <mergeCell ref="B44:F44"/>
    <mergeCell ref="B46:F46"/>
    <mergeCell ref="B39:F39"/>
    <mergeCell ref="B45:F45"/>
    <mergeCell ref="B40:F40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00" t="s">
        <v>164</v>
      </c>
      <c r="C1" s="100"/>
      <c r="D1" s="100"/>
      <c r="E1" s="100"/>
      <c r="F1" s="100"/>
      <c r="G1" s="100"/>
      <c r="H1" s="100"/>
      <c r="I1" s="1"/>
    </row>
    <row r="2" spans="1:9" ht="15" customHeight="1" x14ac:dyDescent="0.25">
      <c r="A2" s="1"/>
      <c r="B2" s="100"/>
      <c r="C2" s="100"/>
      <c r="D2" s="100"/>
      <c r="E2" s="100"/>
      <c r="F2" s="100"/>
      <c r="G2" s="100"/>
      <c r="H2" s="100"/>
      <c r="I2" s="1"/>
    </row>
    <row r="3" spans="1:9" ht="15" customHeight="1" x14ac:dyDescent="0.25">
      <c r="A3" s="1"/>
      <c r="B3" s="101"/>
      <c r="C3" s="101"/>
      <c r="D3" s="101"/>
      <c r="E3" s="101"/>
      <c r="F3" s="101"/>
      <c r="G3" s="101"/>
      <c r="H3" s="101"/>
      <c r="I3" s="1"/>
    </row>
    <row r="4" spans="1:9" x14ac:dyDescent="0.25">
      <c r="A4" s="1"/>
      <c r="B4" s="88" t="s">
        <v>71</v>
      </c>
      <c r="C4" s="89"/>
      <c r="D4" s="89"/>
      <c r="E4" s="89"/>
      <c r="F4" s="89"/>
      <c r="G4" s="89"/>
      <c r="H4" s="90"/>
      <c r="I4" s="1"/>
    </row>
    <row r="5" spans="1:9" x14ac:dyDescent="0.25">
      <c r="A5" s="1"/>
      <c r="B5" s="94" t="s">
        <v>78</v>
      </c>
      <c r="C5" s="95"/>
      <c r="D5" s="95"/>
      <c r="E5" s="95"/>
      <c r="F5" s="96"/>
      <c r="G5" s="24">
        <v>12723595.711666878</v>
      </c>
      <c r="H5" s="14" t="s">
        <v>3</v>
      </c>
      <c r="I5" s="1"/>
    </row>
    <row r="6" spans="1:9" x14ac:dyDescent="0.25">
      <c r="A6" s="1"/>
      <c r="B6" s="94" t="s">
        <v>72</v>
      </c>
      <c r="C6" s="95"/>
      <c r="D6" s="95"/>
      <c r="E6" s="95"/>
      <c r="F6" s="96"/>
      <c r="G6" s="24">
        <f>G5*'Fane 14. Nøgletal'!C18</f>
        <v>115784.7209761686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88" t="s">
        <v>79</v>
      </c>
      <c r="C9" s="89"/>
      <c r="D9" s="89"/>
      <c r="E9" s="89"/>
      <c r="F9" s="89"/>
      <c r="G9" s="89"/>
      <c r="H9" s="90"/>
      <c r="I9" s="1"/>
    </row>
    <row r="10" spans="1:9" x14ac:dyDescent="0.25">
      <c r="A10" s="1"/>
      <c r="B10" s="94" t="s">
        <v>80</v>
      </c>
      <c r="C10" s="95"/>
      <c r="D10" s="95"/>
      <c r="E10" s="95"/>
      <c r="F10" s="96"/>
      <c r="G10" s="24">
        <f>(G5-G6)*(1+'Fane 14. Nøgletal'!C10)</f>
        <v>12828447.683027798</v>
      </c>
      <c r="H10" s="14" t="s">
        <v>3</v>
      </c>
      <c r="I10" s="1"/>
    </row>
    <row r="11" spans="1:9" x14ac:dyDescent="0.25">
      <c r="A11" s="1"/>
      <c r="B11" s="94" t="s">
        <v>183</v>
      </c>
      <c r="C11" s="95"/>
      <c r="D11" s="95"/>
      <c r="E11" s="95"/>
      <c r="F11" s="96"/>
      <c r="G11" s="24">
        <v>3343.4076398344109</v>
      </c>
      <c r="H11" s="14" t="s">
        <v>3</v>
      </c>
      <c r="I11" s="1"/>
    </row>
    <row r="12" spans="1:9" x14ac:dyDescent="0.25">
      <c r="A12" s="1"/>
      <c r="B12" s="97" t="s">
        <v>81</v>
      </c>
      <c r="C12" s="98"/>
      <c r="D12" s="98"/>
      <c r="E12" s="98"/>
      <c r="F12" s="99"/>
      <c r="G12" s="24">
        <v>0</v>
      </c>
      <c r="H12" s="14" t="s">
        <v>3</v>
      </c>
      <c r="I12" s="1"/>
    </row>
    <row r="13" spans="1:9" x14ac:dyDescent="0.25">
      <c r="A13" s="1"/>
      <c r="B13" s="94" t="s">
        <v>82</v>
      </c>
      <c r="C13" s="95"/>
      <c r="D13" s="95"/>
      <c r="E13" s="95"/>
      <c r="F13" s="96"/>
      <c r="G13" s="24">
        <f>SUM(G10:G12)*'Fane 14. Nøgletal'!C19</f>
        <v>227122.70230481712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88" t="s">
        <v>83</v>
      </c>
      <c r="C16" s="89"/>
      <c r="D16" s="89"/>
      <c r="E16" s="89"/>
      <c r="F16" s="89"/>
      <c r="G16" s="89"/>
      <c r="H16" s="90"/>
      <c r="I16" s="1"/>
    </row>
    <row r="17" spans="1:9" x14ac:dyDescent="0.25">
      <c r="A17" s="1"/>
      <c r="B17" s="94" t="s">
        <v>84</v>
      </c>
      <c r="C17" s="95"/>
      <c r="D17" s="95"/>
      <c r="E17" s="95"/>
      <c r="F17" s="96"/>
      <c r="G17" s="24">
        <f>(SUM(G10:G12)-G13)*(1+'Fane 14. Nøgletal'!C10)</f>
        <v>12825250.085159166</v>
      </c>
      <c r="H17" s="14" t="s">
        <v>3</v>
      </c>
      <c r="I17" s="1"/>
    </row>
    <row r="18" spans="1:9" x14ac:dyDescent="0.25">
      <c r="A18" s="1"/>
      <c r="B18" s="97" t="s">
        <v>85</v>
      </c>
      <c r="C18" s="98"/>
      <c r="D18" s="98"/>
      <c r="E18" s="98"/>
      <c r="F18" s="99"/>
      <c r="G18" s="24">
        <v>0</v>
      </c>
      <c r="H18" s="14" t="s">
        <v>3</v>
      </c>
      <c r="I18" s="1"/>
    </row>
    <row r="19" spans="1:9" x14ac:dyDescent="0.25">
      <c r="A19" s="1"/>
      <c r="B19" s="94" t="s">
        <v>86</v>
      </c>
      <c r="C19" s="95"/>
      <c r="D19" s="95"/>
      <c r="E19" s="95"/>
      <c r="F19" s="96"/>
      <c r="G19" s="24">
        <f>G17*'Fane 14. Nøgletal'!C19+G18*'Fane 14. Nøgletal'!C20</f>
        <v>227006.92650731723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88" t="s">
        <v>87</v>
      </c>
      <c r="C22" s="89"/>
      <c r="D22" s="89"/>
      <c r="E22" s="89"/>
      <c r="F22" s="89"/>
      <c r="G22" s="89"/>
      <c r="H22" s="90"/>
      <c r="I22" s="1"/>
    </row>
    <row r="23" spans="1:9" x14ac:dyDescent="0.25">
      <c r="A23" s="1"/>
      <c r="B23" s="94" t="s">
        <v>88</v>
      </c>
      <c r="C23" s="95"/>
      <c r="D23" s="95"/>
      <c r="E23" s="95"/>
      <c r="F23" s="96"/>
      <c r="G23" s="24">
        <f>(G17+G18-G19)*(1+'Fane 14. Nøgletal'!C12)</f>
        <v>12846428.548877291</v>
      </c>
      <c r="H23" s="14" t="s">
        <v>3</v>
      </c>
      <c r="I23" s="1"/>
    </row>
    <row r="24" spans="1:9" x14ac:dyDescent="0.25">
      <c r="A24" s="1"/>
      <c r="B24" s="97" t="s">
        <v>89</v>
      </c>
      <c r="C24" s="98"/>
      <c r="D24" s="98"/>
      <c r="E24" s="98"/>
      <c r="F24" s="99"/>
      <c r="G24" s="24">
        <v>4153.95341955</v>
      </c>
      <c r="H24" s="14" t="s">
        <v>3</v>
      </c>
      <c r="I24" s="1"/>
    </row>
    <row r="25" spans="1:9" x14ac:dyDescent="0.25">
      <c r="A25" s="1"/>
      <c r="B25" s="94" t="s">
        <v>90</v>
      </c>
      <c r="C25" s="95"/>
      <c r="D25" s="95"/>
      <c r="E25" s="95"/>
      <c r="F25" s="96"/>
      <c r="G25" s="24">
        <f>(G23+G24)*'Fane 14. Nøgletal'!C21</f>
        <v>364956.5430652303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88" t="s">
        <v>91</v>
      </c>
      <c r="C28" s="89"/>
      <c r="D28" s="89"/>
      <c r="E28" s="89"/>
      <c r="F28" s="89"/>
      <c r="G28" s="89"/>
      <c r="H28" s="90"/>
      <c r="I28" s="1"/>
    </row>
    <row r="29" spans="1:9" x14ac:dyDescent="0.25">
      <c r="A29" s="1"/>
      <c r="B29" s="94" t="s">
        <v>92</v>
      </c>
      <c r="C29" s="95"/>
      <c r="D29" s="95"/>
      <c r="E29" s="95"/>
      <c r="F29" s="96"/>
      <c r="G29" s="24">
        <f>(G23+G24-G25)*(1+'Fane 14. Nøgletal'!C12)</f>
        <v>12731592.790628474</v>
      </c>
      <c r="H29" s="14" t="s">
        <v>3</v>
      </c>
      <c r="I29" s="1"/>
    </row>
    <row r="30" spans="1:9" x14ac:dyDescent="0.25">
      <c r="A30" s="1"/>
      <c r="B30" s="94" t="s">
        <v>235</v>
      </c>
      <c r="C30" s="95"/>
      <c r="D30" s="95"/>
      <c r="E30" s="95"/>
      <c r="F30" s="96"/>
      <c r="G30" s="24">
        <f>SUM('Fane 2.1. Økonomisk ramme 2021'!C11,'Fane 2.1. Økonomisk ramme 2021'!C13,'Fane 2.1. Økonomisk ramme 2021'!C15)*(1+'Fane 14. Nøgletal'!C13)</f>
        <v>1964792.6787005998</v>
      </c>
      <c r="H30" s="14" t="s">
        <v>3</v>
      </c>
      <c r="I30" s="1"/>
    </row>
    <row r="31" spans="1:9" x14ac:dyDescent="0.25">
      <c r="A31" s="1"/>
      <c r="B31" s="94" t="s">
        <v>93</v>
      </c>
      <c r="C31" s="95"/>
      <c r="D31" s="95"/>
      <c r="E31" s="95"/>
      <c r="F31" s="96"/>
      <c r="G31" s="24">
        <f>G29*'Fane 14. Nøgletal'!C21+G30*'Fane 14. Nøgletal'!C22</f>
        <v>415609.03391811514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88" t="s">
        <v>102</v>
      </c>
      <c r="C34" s="89"/>
      <c r="D34" s="89"/>
      <c r="E34" s="89"/>
      <c r="F34" s="89"/>
      <c r="G34" s="89"/>
      <c r="H34" s="90"/>
      <c r="I34" s="1"/>
    </row>
    <row r="35" spans="1:9" x14ac:dyDescent="0.25">
      <c r="A35" s="1"/>
      <c r="B35" s="94" t="s">
        <v>97</v>
      </c>
      <c r="C35" s="95"/>
      <c r="D35" s="95"/>
      <c r="E35" s="95"/>
      <c r="F35" s="96"/>
      <c r="G35" s="24">
        <f>(G29+G30-G31)*(1+'Fane 14. Nøgletal'!C13)</f>
        <v>14455001.907922974</v>
      </c>
      <c r="H35" s="14" t="s">
        <v>3</v>
      </c>
      <c r="I35" s="1"/>
    </row>
    <row r="36" spans="1:9" x14ac:dyDescent="0.25">
      <c r="A36" s="1"/>
      <c r="B36" s="94" t="s">
        <v>122</v>
      </c>
      <c r="C36" s="95"/>
      <c r="D36" s="95"/>
      <c r="E36" s="95"/>
      <c r="F36" s="96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4" t="s">
        <v>94</v>
      </c>
      <c r="C37" s="95"/>
      <c r="D37" s="95"/>
      <c r="E37" s="95"/>
      <c r="F37" s="96"/>
      <c r="G37" s="24">
        <f>(G35+G36)*'Fane 14. Nøgletal'!C22</f>
        <v>397512.55246788176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88" t="s">
        <v>103</v>
      </c>
      <c r="C40" s="89"/>
      <c r="D40" s="89"/>
      <c r="E40" s="89"/>
      <c r="F40" s="89"/>
      <c r="G40" s="89"/>
      <c r="H40" s="90"/>
      <c r="I40" s="1"/>
    </row>
    <row r="41" spans="1:9" x14ac:dyDescent="0.25">
      <c r="A41" s="1"/>
      <c r="B41" s="94" t="s">
        <v>96</v>
      </c>
      <c r="C41" s="95"/>
      <c r="D41" s="95"/>
      <c r="E41" s="95"/>
      <c r="F41" s="96"/>
      <c r="G41" s="24">
        <f>(G35+G36-G37)*(1+'Fane 14. Nøgletal'!C13)</f>
        <v>14228990.725591643</v>
      </c>
      <c r="H41" s="14" t="s">
        <v>3</v>
      </c>
      <c r="I41" s="1"/>
    </row>
    <row r="42" spans="1:9" x14ac:dyDescent="0.25">
      <c r="A42" s="1"/>
      <c r="B42" s="94" t="s">
        <v>123</v>
      </c>
      <c r="C42" s="95"/>
      <c r="D42" s="95"/>
      <c r="E42" s="95"/>
      <c r="F42" s="96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4" t="s">
        <v>95</v>
      </c>
      <c r="C43" s="95"/>
      <c r="D43" s="95"/>
      <c r="E43" s="95"/>
      <c r="F43" s="96"/>
      <c r="G43" s="24">
        <f>(G41+G42)*'Fane 14. Nøgletal'!C22</f>
        <v>391297.24495377019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88" t="s">
        <v>240</v>
      </c>
      <c r="C46" s="89"/>
      <c r="D46" s="89"/>
      <c r="E46" s="89"/>
      <c r="F46" s="89"/>
      <c r="G46" s="89"/>
      <c r="H46" s="90"/>
      <c r="I46" s="1"/>
    </row>
    <row r="47" spans="1:9" x14ac:dyDescent="0.25">
      <c r="A47" s="1"/>
      <c r="B47" s="94" t="s">
        <v>241</v>
      </c>
      <c r="C47" s="95"/>
      <c r="D47" s="95"/>
      <c r="E47" s="95"/>
      <c r="F47" s="96"/>
      <c r="G47" s="24">
        <f>(G41+G42-G43)*(1+'Fane 14. Nøgletal'!C13)</f>
        <v>14006513.341101654</v>
      </c>
      <c r="H47" s="14" t="s">
        <v>3</v>
      </c>
      <c r="I47" s="1"/>
    </row>
    <row r="48" spans="1:9" x14ac:dyDescent="0.25">
      <c r="A48" s="1"/>
      <c r="B48" s="94" t="s">
        <v>242</v>
      </c>
      <c r="C48" s="95"/>
      <c r="D48" s="95"/>
      <c r="E48" s="95"/>
      <c r="F48" s="96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4" t="s">
        <v>243</v>
      </c>
      <c r="C49" s="95"/>
      <c r="D49" s="95"/>
      <c r="E49" s="95"/>
      <c r="F49" s="96"/>
      <c r="G49" s="24">
        <f>(G47+G48)*'Fane 14. Nøgletal'!C22</f>
        <v>385179.11688029551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18:F18"/>
    <mergeCell ref="B30:F30"/>
    <mergeCell ref="B22:H22"/>
    <mergeCell ref="B11:F11"/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7" t="s">
        <v>116</v>
      </c>
      <c r="C3" s="77"/>
      <c r="D3" s="77"/>
      <c r="E3" s="77"/>
      <c r="F3" s="77"/>
      <c r="G3" s="77"/>
      <c r="H3" s="77"/>
      <c r="I3" s="1"/>
    </row>
    <row r="4" spans="1:9" ht="15" customHeight="1" x14ac:dyDescent="0.25">
      <c r="A4" s="1"/>
      <c r="B4" s="77"/>
      <c r="C4" s="77"/>
      <c r="D4" s="77"/>
      <c r="E4" s="77"/>
      <c r="F4" s="77"/>
      <c r="G4" s="77"/>
      <c r="H4" s="7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8" t="s">
        <v>10</v>
      </c>
      <c r="C8" s="89"/>
      <c r="D8" s="89"/>
      <c r="E8" s="89"/>
      <c r="F8" s="89"/>
      <c r="G8" s="89"/>
      <c r="H8" s="90"/>
      <c r="I8" s="1"/>
    </row>
    <row r="9" spans="1:9" x14ac:dyDescent="0.25">
      <c r="A9" s="1"/>
      <c r="B9" s="94" t="s">
        <v>104</v>
      </c>
      <c r="C9" s="95"/>
      <c r="D9" s="95"/>
      <c r="E9" s="95"/>
      <c r="F9" s="96"/>
      <c r="G9" s="23">
        <v>0</v>
      </c>
      <c r="H9" s="14"/>
      <c r="I9" s="1"/>
    </row>
    <row r="10" spans="1:9" x14ac:dyDescent="0.25">
      <c r="A10" s="1"/>
      <c r="B10" s="94" t="s">
        <v>105</v>
      </c>
      <c r="C10" s="95"/>
      <c r="D10" s="95"/>
      <c r="E10" s="95"/>
      <c r="F10" s="96"/>
      <c r="G10" s="23">
        <v>1.0872320331547234E-3</v>
      </c>
      <c r="H10" s="14"/>
      <c r="I10" s="1"/>
    </row>
    <row r="11" spans="1:9" x14ac:dyDescent="0.25">
      <c r="A11" s="1"/>
      <c r="B11" s="94" t="s">
        <v>106</v>
      </c>
      <c r="C11" s="95"/>
      <c r="D11" s="95"/>
      <c r="E11" s="95"/>
      <c r="F11" s="96"/>
      <c r="G11" s="41">
        <v>0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79" t="s">
        <v>258</v>
      </c>
      <c r="C13" s="80"/>
      <c r="D13" s="80"/>
      <c r="E13" s="80"/>
      <c r="F13" s="80"/>
      <c r="G13" s="80"/>
      <c r="H13" s="81"/>
      <c r="I13" s="1"/>
    </row>
    <row r="14" spans="1:9" ht="14.25" customHeight="1" x14ac:dyDescent="0.25">
      <c r="A14" s="18"/>
      <c r="B14" s="102"/>
      <c r="C14" s="102"/>
      <c r="D14" s="102"/>
      <c r="E14" s="102"/>
      <c r="F14" s="102"/>
      <c r="G14" s="102"/>
      <c r="H14" s="102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2020-10-21T08:30:18Z</dcterms:modified>
</cp:coreProperties>
</file>