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HØRSHOLM AS (V102)\ØR2020\"/>
    </mc:Choice>
  </mc:AlternateContent>
  <bookViews>
    <workbookView xWindow="3105" yWindow="990" windowWidth="12735" windowHeight="4620" tabRatio="872" activeTab="1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2" i="37" l="1"/>
  <c r="E12" i="37"/>
  <c r="C16" i="19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3" i="37" s="1"/>
  <c r="C10" i="2" s="1"/>
  <c r="G11" i="11"/>
  <c r="E11" i="21" l="1"/>
  <c r="C11" i="21"/>
  <c r="E11" i="29"/>
  <c r="C11" i="29"/>
  <c r="C17" i="19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<sst xmlns="http://schemas.openxmlformats.org/spreadsheetml/2006/main" count="598" uniqueCount="246">
  <si>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</si>
  <si>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</si>
  <si>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</si>
  <si>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</si>
  <si>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</si>
  <si>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</si>
  <si>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</si>
  <si>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</si>
  <si>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</si>
  <si>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</si>
  <si>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</si>
  <si>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</si>
  <si>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</si>
  <si>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</si>
  <si>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</si>
  <si>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</si>
  <si>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</si>
  <si>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</si>
  <si>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</si>
  <si>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</si>
  <si>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</si>
  <si>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</si>
  <si>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</si>
  <si>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</si>
  <si>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</si>
  <si>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</si>
  <si>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</si>
  <si>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</si>
  <si>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</si>
  <si>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</si>
  <si>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</si>
  <si>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</si>
  <si>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</si>
  <si>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</si>
  <si>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</si>
  <si>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</si>
  <si>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</si>
  <si>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</si>
  <si>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</si>
  <si>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</si>
  <si>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</si>
  <si>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</si>
  <si>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</si>
  <si>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</si>
  <si>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</si>
  <si>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</si>
  <si>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</si>
  <si>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</si>
  <si>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</si>
  <si>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</si>
  <si>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</si>
  <si>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</si>
  <si>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</si>
  <si>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</si>
  <si>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</si>
  <si>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</si>
  <si>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</si>
  <si>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</si>
  <si>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</si>
  <si>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</si>
  <si>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</si>
  <si>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</si>
  <si>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</si>
  <si>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</si>
  <si>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</si>
  <si>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</si>
  <si>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</si>
  <si>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</si>
  <si>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</si>
  <si>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</si>
  <si>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</si>
  <si>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</si>
  <si>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</si>
  <si>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</si>
  <si>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</si>
  <si>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</si>
  <si>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</si>
  <si>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</si>
  <si>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</si>
  <si>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</si>
  <si>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</si>
  <si>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</si>
  <si>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</si>
  <si>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</si>
  <si>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</si>
  <si>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</si>
  <si>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</si>
  <si>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</si>
  <si>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</si>
  <si>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</si>
  <si>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</si>
  <si>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</si>
  <si>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</si>
  <si>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</si>
  <si>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</si>
  <si>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</si>
  <si>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</si>
  <si>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</si>
  <si>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</si>
  <si>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</si>
  <si>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</si>
  <si>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</si>
  <si>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</si>
  <si>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</si>
  <si>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</si>
  <si>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</si>
  <si>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</si>
  <si>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</si>
  <si>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</si>
  <si>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</si>
  <si>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</si>
  <si>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</si>
  <si>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</si>
  <si>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</si>
  <si>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</si>
  <si>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</si>
  <si>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</si>
  <si>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</si>
  <si>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</si>
  <si>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</si>
  <si>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</si>
  <si>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</si>
  <si>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</si>
  <si>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</si>
  <si>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</si>
  <si>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</si>
  <si>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</si>
  <si>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</si>
  <si>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</si>
  <si>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</si>
  <si>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</si>
  <si>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</si>
  <si>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</si>
  <si>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</si>
  <si>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</si>
  <si>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</si>
  <si>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</si>
  <si>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</si>
  <si>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</si>
  <si>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</si>
  <si>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</si>
  <si>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</si>
  <si>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</si>
  <si>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</si>
  <si>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</si>
  <si>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</si>
  <si>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</si>
  <si>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</si>
  <si>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</si>
  <si>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</si>
  <si>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</si>
  <si>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</si>
  <si>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</si>
  <si>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</si>
  <si>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</si>
  <si>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</si>
  <si>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</si>
  <si>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</si>
  <si>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</si>
  <si>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</si>
  <si>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</si>
  <si>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</si>
  <si>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</si>
  <si>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</si>
  <si>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</si>
  <si>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</si>
  <si>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</si>
  <si>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</si>
  <si>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</si>
  <si>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</si>
  <si>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</si>
  <si>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</si>
  <si>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</si>
  <si>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</si>
  <si>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</si>
  <si>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</si>
  <si>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</si>
  <si>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</si>
  <si>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</si>
  <si>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</si>
  <si>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</si>
  <si>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</si>
  <si>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</si>
  <si>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</si>
  <si>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</si>
  <si>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</si>
  <si>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</si>
  <si>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</si>
  <si>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</si>
  <si>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</si>
  <si>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</si>
  <si>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</si>
  <si>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</si>
  <si>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</si>
  <si>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</si>
  <si>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</si>
  <si>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</si>
  <si>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</si>
  <si>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</si>
  <si>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</si>
  <si>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</si>
  <si>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</si>
  <si>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</si>
  <si>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</si>
  <si>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</si>
  <si>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</si>
  <si>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</si>
  <si>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</si>
  <si>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</si>
  <si>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</si>
  <si>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</si>
  <si>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</si>
  <si>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</si>
  <si>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</si>
  <si>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</si>
  <si>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</si>
  <si>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</si>
  <si>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</si>
  <si>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</si>
  <si>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</si>
  <si>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</si>
  <si>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</si>
  <si>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</si>
  <si>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</si>
  <si>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</si>
  <si>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</si>
  <si>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</si>
  <si>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</si>
  <si>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</si>
  <si>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</si>
  <si>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</si>
  <si>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</si>
  <si>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</si>
  <si>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</si>
  <si>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</si>
  <si>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</si>
  <si>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</si>
  <si>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</si>
  <si>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</si>
  <si>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</si>
  <si>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engangstillæg</t>
  </si>
  <si>
    <t>Til indregning i den økonomiske ramme for 2020</t>
  </si>
  <si>
    <t>Tillæg/fradrag i den økonomiske ramme for 2020 i alt</t>
  </si>
  <si>
    <t>Køb af ydelser og produkter fra andre vandselskaber reguleret af vandsektorloven (Overdam Vandforsyning)</t>
  </si>
  <si>
    <t>Afgift for ledningsført vand (Overdam Vandforsyning)</t>
  </si>
  <si>
    <t>Fusion med Overdam Vandforsyning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</si>
</sst>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2" t="s">
        <v>192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56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22</v>
      </c>
      <c r="D14" s="67" t="s">
        <v>177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55</v>
      </c>
      <c r="D15" s="67" t="s">
        <v>133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57</v>
      </c>
      <c r="D16" s="67" t="s">
        <v>134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224</v>
      </c>
      <c r="D17" s="67" t="s">
        <v>66</v>
      </c>
      <c r="E17" s="68"/>
      <c r="F17" s="68"/>
      <c r="G17" s="69"/>
      <c r="H17" s="1"/>
      <c r="I17" s="1"/>
    </row>
    <row r="18" spans="1:9" x14ac:dyDescent="0.25">
      <c r="A18" s="1"/>
      <c r="B18" s="1"/>
      <c r="C18" s="34" t="s">
        <v>196</v>
      </c>
      <c r="D18" s="73" t="s">
        <v>162</v>
      </c>
      <c r="E18" s="74"/>
      <c r="F18" s="74"/>
      <c r="G18" s="75"/>
      <c r="H18" s="1"/>
      <c r="I18" s="1"/>
    </row>
    <row r="19" spans="1:9" x14ac:dyDescent="0.25">
      <c r="A19" s="1"/>
      <c r="B19" s="1"/>
      <c r="C19" s="34" t="s">
        <v>197</v>
      </c>
      <c r="D19" s="73" t="s">
        <v>163</v>
      </c>
      <c r="E19" s="74"/>
      <c r="F19" s="74"/>
      <c r="G19" s="75"/>
      <c r="H19" s="1"/>
      <c r="I19" s="1"/>
    </row>
    <row r="20" spans="1:9" x14ac:dyDescent="0.25">
      <c r="A20" s="1"/>
      <c r="B20" s="1"/>
      <c r="C20" s="34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198</v>
      </c>
      <c r="D21" s="64" t="s">
        <v>17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140</v>
      </c>
      <c r="D22" s="58" t="s">
        <v>161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225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58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199</v>
      </c>
      <c r="D25" s="58" t="s">
        <v>141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200</v>
      </c>
      <c r="D26" s="58" t="s">
        <v>142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201</v>
      </c>
      <c r="D27" s="58" t="s">
        <v>59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183</v>
      </c>
      <c r="D28" s="58" t="s">
        <v>60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61</v>
      </c>
      <c r="D29" s="55" t="s">
        <v>11</v>
      </c>
      <c r="E29" s="56"/>
      <c r="F29" s="56"/>
      <c r="G29" s="57"/>
      <c r="H29" s="1"/>
      <c r="I29" s="1"/>
    </row>
    <row r="30" spans="1:9" x14ac:dyDescent="0.25">
      <c r="A30" s="1"/>
      <c r="B30" s="1"/>
      <c r="C30" s="6" t="s">
        <v>62</v>
      </c>
      <c r="D30" s="61" t="s">
        <v>184</v>
      </c>
      <c r="E30" s="62"/>
      <c r="F30" s="62"/>
      <c r="G30" s="63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egfqaWoptVlrFArXWLMieNUHL5joQzBOqF26aQ3QzJ24OdSU+p6555qK24xwo8m/OVHAyRX6adj0gy7vTv85ww==" saltValue="enYjOYHw5ggCvXr0fkxCNQ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>
      <selection activeCell="C16" sqref="C16"/>
    </sheetView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6" t="s">
        <v>204</v>
      </c>
      <c r="C3" s="76"/>
      <c r="D3" s="76"/>
      <c r="E3" s="1"/>
      <c r="F3" s="1"/>
    </row>
    <row r="4" spans="1:6" ht="15" customHeight="1" x14ac:dyDescent="0.25">
      <c r="A4" s="1"/>
      <c r="B4" s="76"/>
      <c r="C4" s="76"/>
      <c r="D4" s="7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69</v>
      </c>
      <c r="C8" s="100"/>
      <c r="D8" s="101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8012952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27654</v>
      </c>
      <c r="D11" s="14" t="s">
        <v>3</v>
      </c>
      <c r="E11" s="1"/>
      <c r="F11" s="1"/>
    </row>
    <row r="12" spans="1:6" ht="26.25" x14ac:dyDescent="0.25">
      <c r="A12" s="1"/>
      <c r="B12" s="44" t="s">
        <v>238</v>
      </c>
      <c r="C12" s="9">
        <v>4894053</v>
      </c>
      <c r="D12" s="14" t="s">
        <v>3</v>
      </c>
      <c r="E12" s="1"/>
      <c r="F12" s="1"/>
    </row>
    <row r="13" spans="1:6" x14ac:dyDescent="0.25">
      <c r="A13" s="1"/>
      <c r="B13" s="48" t="s">
        <v>239</v>
      </c>
      <c r="C13" s="9">
        <v>84593</v>
      </c>
      <c r="D13" s="14" t="s">
        <v>3</v>
      </c>
      <c r="E13" s="1"/>
      <c r="F13" s="1"/>
    </row>
    <row r="14" spans="1:6" ht="39" x14ac:dyDescent="0.25">
      <c r="A14" s="1"/>
      <c r="B14" s="51" t="s">
        <v>243</v>
      </c>
      <c r="C14" s="9">
        <v>13102</v>
      </c>
      <c r="D14" s="14" t="s">
        <v>3</v>
      </c>
      <c r="E14" s="1"/>
      <c r="F14" s="1"/>
    </row>
    <row r="15" spans="1:6" x14ac:dyDescent="0.25">
      <c r="A15" s="1"/>
      <c r="B15" s="52" t="s">
        <v>244</v>
      </c>
      <c r="C15" s="9">
        <v>37572</v>
      </c>
      <c r="D15" s="14" t="s">
        <v>3</v>
      </c>
      <c r="E15" s="1"/>
      <c r="F15" s="1"/>
    </row>
    <row r="16" spans="1:6" x14ac:dyDescent="0.25">
      <c r="A16" s="1"/>
      <c r="B16" s="39" t="s">
        <v>71</v>
      </c>
      <c r="C16" s="12">
        <f>SUM(C10:C15)</f>
        <v>13069926</v>
      </c>
      <c r="D16" s="13" t="s">
        <v>3</v>
      </c>
      <c r="E16" s="1"/>
      <c r="F16" s="1"/>
    </row>
    <row r="17" spans="1:6" x14ac:dyDescent="0.25">
      <c r="A17" s="1"/>
      <c r="B17" s="39" t="s">
        <v>72</v>
      </c>
      <c r="C17" s="12">
        <f>C16*(1+'Fane 14. Nøgletal'!C12)^2</f>
        <v>13589953.391981341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9" t="s">
        <v>52</v>
      </c>
      <c r="C6" s="100"/>
      <c r="D6" s="100"/>
      <c r="E6" s="100"/>
      <c r="F6" s="101"/>
      <c r="G6" s="1"/>
    </row>
    <row r="7" spans="1:7" ht="15" customHeight="1" x14ac:dyDescent="0.25">
      <c r="A7" s="1"/>
      <c r="B7" s="102" t="s">
        <v>50</v>
      </c>
      <c r="C7" s="103"/>
      <c r="D7" s="104"/>
      <c r="E7" s="9">
        <v>-574302.05500000017</v>
      </c>
      <c r="F7" s="14" t="s">
        <v>3</v>
      </c>
      <c r="G7" s="1"/>
    </row>
    <row r="8" spans="1:7" ht="15" customHeight="1" x14ac:dyDescent="0.25">
      <c r="A8" s="1"/>
      <c r="B8" s="102" t="s">
        <v>51</v>
      </c>
      <c r="C8" s="103"/>
      <c r="D8" s="104"/>
      <c r="E8" s="9">
        <v>4264039.810878884</v>
      </c>
      <c r="F8" s="14" t="s">
        <v>3</v>
      </c>
      <c r="G8" s="1"/>
    </row>
    <row r="9" spans="1:7" ht="15" customHeight="1" x14ac:dyDescent="0.25">
      <c r="A9" s="1"/>
      <c r="B9" s="110" t="s">
        <v>186</v>
      </c>
      <c r="C9" s="111"/>
      <c r="D9" s="112"/>
      <c r="E9" s="10">
        <f>SUM(E7:E8)</f>
        <v>3689737.7558788839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90" t="s">
        <v>188</v>
      </c>
      <c r="C11" s="91"/>
      <c r="D11" s="91"/>
      <c r="E11" s="91"/>
      <c r="F11" s="92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165</v>
      </c>
      <c r="C14" s="100"/>
      <c r="D14" s="100"/>
      <c r="E14" s="100"/>
      <c r="F14" s="101"/>
      <c r="G14" s="1"/>
    </row>
    <row r="15" spans="1:7" x14ac:dyDescent="0.25">
      <c r="A15" s="1"/>
      <c r="B15" s="102" t="s">
        <v>166</v>
      </c>
      <c r="C15" s="103"/>
      <c r="D15" s="104"/>
      <c r="E15" s="9">
        <v>25307164.214344267</v>
      </c>
      <c r="F15" s="14" t="s">
        <v>3</v>
      </c>
      <c r="G15" s="1"/>
    </row>
    <row r="16" spans="1:7" x14ac:dyDescent="0.25">
      <c r="A16" s="1"/>
      <c r="B16" s="102" t="s">
        <v>167</v>
      </c>
      <c r="C16" s="103"/>
      <c r="D16" s="104"/>
      <c r="E16" s="9">
        <v>25591756</v>
      </c>
      <c r="F16" s="14" t="s">
        <v>3</v>
      </c>
      <c r="G16" s="1"/>
    </row>
    <row r="17" spans="1:7" x14ac:dyDescent="0.25">
      <c r="A17" s="1"/>
      <c r="B17" s="102" t="s">
        <v>49</v>
      </c>
      <c r="C17" s="103"/>
      <c r="D17" s="104"/>
      <c r="E17" s="9">
        <v>0</v>
      </c>
      <c r="F17" s="14" t="s">
        <v>3</v>
      </c>
      <c r="G17" s="1"/>
    </row>
    <row r="18" spans="1:7" x14ac:dyDescent="0.25">
      <c r="A18" s="1"/>
      <c r="B18" s="110" t="s">
        <v>187</v>
      </c>
      <c r="C18" s="111"/>
      <c r="D18" s="112"/>
      <c r="E18" s="10">
        <f>E15-(E16-E17)</f>
        <v>-284591.7856557332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90" t="s">
        <v>189</v>
      </c>
      <c r="C20" s="91"/>
      <c r="D20" s="91"/>
      <c r="E20" s="91"/>
      <c r="F20" s="92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9" t="s">
        <v>77</v>
      </c>
      <c r="C23" s="100"/>
      <c r="D23" s="100"/>
      <c r="E23" s="100"/>
      <c r="F23" s="101"/>
      <c r="G23" s="1"/>
    </row>
    <row r="24" spans="1:7" x14ac:dyDescent="0.25">
      <c r="A24" s="1"/>
      <c r="B24" s="102" t="s">
        <v>78</v>
      </c>
      <c r="C24" s="103"/>
      <c r="D24" s="104"/>
      <c r="E24" s="9">
        <v>24300617.009154461</v>
      </c>
      <c r="F24" s="14" t="s">
        <v>3</v>
      </c>
      <c r="G24" s="1"/>
    </row>
    <row r="25" spans="1:7" x14ac:dyDescent="0.25">
      <c r="A25" s="1"/>
      <c r="B25" s="102" t="s">
        <v>79</v>
      </c>
      <c r="C25" s="103"/>
      <c r="D25" s="104"/>
      <c r="E25" s="9">
        <v>24387595</v>
      </c>
      <c r="F25" s="14" t="s">
        <v>3</v>
      </c>
      <c r="G25" s="1"/>
    </row>
    <row r="26" spans="1:7" x14ac:dyDescent="0.25">
      <c r="A26" s="1"/>
      <c r="B26" s="102" t="s">
        <v>49</v>
      </c>
      <c r="C26" s="103"/>
      <c r="D26" s="104"/>
      <c r="E26" s="9">
        <v>0</v>
      </c>
      <c r="F26" s="14" t="s">
        <v>3</v>
      </c>
      <c r="G26" s="1"/>
    </row>
    <row r="27" spans="1:7" x14ac:dyDescent="0.25">
      <c r="A27" s="1"/>
      <c r="B27" s="110" t="s">
        <v>187</v>
      </c>
      <c r="C27" s="111"/>
      <c r="D27" s="112"/>
      <c r="E27" s="10">
        <f>E24-(E25-E26)</f>
        <v>-86977.990845538676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9" t="s">
        <v>241</v>
      </c>
      <c r="C31" s="100"/>
      <c r="D31" s="100"/>
      <c r="E31" s="100"/>
      <c r="F31" s="101"/>
      <c r="G31" s="1"/>
    </row>
    <row r="32" spans="1:7" x14ac:dyDescent="0.25">
      <c r="A32" s="1"/>
      <c r="B32" s="110" t="s">
        <v>242</v>
      </c>
      <c r="C32" s="111"/>
      <c r="D32" s="112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1702572.9851115753</v>
      </c>
      <c r="F32" s="17" t="s">
        <v>3</v>
      </c>
      <c r="G32" s="1"/>
    </row>
    <row r="33" spans="1:7" x14ac:dyDescent="0.25">
      <c r="A33" s="1"/>
      <c r="B33" s="99"/>
      <c r="C33" s="100"/>
      <c r="D33" s="100"/>
      <c r="E33" s="100"/>
      <c r="F33" s="10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9" t="s">
        <v>180</v>
      </c>
      <c r="C36" s="100"/>
      <c r="D36" s="100"/>
      <c r="E36" s="100"/>
      <c r="F36" s="101"/>
      <c r="G36" s="1"/>
    </row>
    <row r="37" spans="1:7" x14ac:dyDescent="0.25">
      <c r="A37" s="1"/>
      <c r="B37" s="113" t="s">
        <v>53</v>
      </c>
      <c r="C37" s="114"/>
      <c r="D37" s="115"/>
      <c r="E37" s="9">
        <f>IF(AND(E9&gt;0,E18&gt;0),IF(E18+E27&gt;=0,0,IF(E18+E27&lt;0,E18+E27,0)),IF(AND(E9&lt;0,E18&gt;0,ABS(E9)&lt;ABS(E18)),IF(E9+E18+E27&gt;=0,0,IF(E9+E18+E27&lt;0,E9+E18+E27,0)),IF(E27&gt;=0,0,E27)))</f>
        <v>-86977.990845538676</v>
      </c>
      <c r="F37" s="14" t="s">
        <v>3</v>
      </c>
      <c r="G37" s="1"/>
    </row>
    <row r="38" spans="1:7" x14ac:dyDescent="0.25">
      <c r="A38" s="1"/>
      <c r="B38" s="113" t="s">
        <v>185</v>
      </c>
      <c r="C38" s="114"/>
      <c r="D38" s="115"/>
      <c r="E38" s="9">
        <v>2</v>
      </c>
      <c r="F38" s="14" t="s">
        <v>27</v>
      </c>
      <c r="G38" s="1"/>
    </row>
    <row r="39" spans="1:7" ht="15" customHeight="1" x14ac:dyDescent="0.25">
      <c r="A39" s="1"/>
      <c r="B39" s="110" t="s">
        <v>227</v>
      </c>
      <c r="C39" s="111"/>
      <c r="D39" s="112"/>
      <c r="E39" s="10">
        <f>E37/E38</f>
        <v>-43488.995422769338</v>
      </c>
      <c r="F39" s="17" t="s">
        <v>3</v>
      </c>
      <c r="G39" s="1"/>
    </row>
    <row r="40" spans="1:7" x14ac:dyDescent="0.25">
      <c r="A40" s="1"/>
      <c r="B40" s="99"/>
      <c r="C40" s="100"/>
      <c r="D40" s="100"/>
      <c r="E40" s="100"/>
      <c r="F40" s="10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zVNybvNuKAJSjmyYE5xyKk4yeh8LE2G82NhZiQ2GHCTZf81osKJQoxHO2GdFlPkH1Ag9k44SWfllRAXvYBP6Q==" saltValue="F0mkvwweeRpNcDy4IWLXfg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228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159</v>
      </c>
      <c r="C8" s="100"/>
      <c r="D8" s="100"/>
      <c r="E8" s="100"/>
      <c r="F8" s="100"/>
      <c r="G8" s="1"/>
    </row>
    <row r="9" spans="1:7" ht="29.25" customHeight="1" x14ac:dyDescent="0.25">
      <c r="A9" s="1"/>
      <c r="B9" s="96" t="s">
        <v>164</v>
      </c>
      <c r="C9" s="97"/>
      <c r="D9" s="9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yEqK1w1JQP+ObpNhIU4BE55pM282SZnSj4iSnwCPQupONVa0FTdQMotOV2IbNyvTtTSIPkVXq+ZpjH9v5PAIA==" saltValue="yKO93duPv4WDJbrpjg+Tp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229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230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53" t="s">
        <v>234</v>
      </c>
      <c r="C10" s="54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9" t="s">
        <v>231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Iv4y7OT7lp5Ky/plhfwpp4JWs8Or9MosnLKNN3MdJynqqs7WiCyl7N+eVGS+NB1pv7mqNjpQd4WZjYFVhWKUQ==" saltValue="xTMiC9WOo3f4Iyi+N8Q8I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>
      <selection activeCell="E12" sqref="E12"/>
    </sheetView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206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27" t="s">
        <v>245</v>
      </c>
      <c r="C11" s="24">
        <v>43656.177689136923</v>
      </c>
      <c r="D11" s="14" t="s">
        <v>3</v>
      </c>
      <c r="E11" s="9">
        <v>17344.137026625591</v>
      </c>
      <c r="F11" s="14" t="s">
        <v>3</v>
      </c>
      <c r="G11" s="1"/>
    </row>
    <row r="12" spans="1:7" x14ac:dyDescent="0.25">
      <c r="A12" s="1"/>
      <c r="B12" s="39" t="s">
        <v>63</v>
      </c>
      <c r="C12" s="12">
        <f>SUM(C10:C11)</f>
        <v>43656.177689136923</v>
      </c>
      <c r="D12" s="13" t="s">
        <v>3</v>
      </c>
      <c r="E12" s="12">
        <f>SUM(E10:E11)</f>
        <v>17344.137026625591</v>
      </c>
      <c r="F12" s="13" t="s">
        <v>3</v>
      </c>
      <c r="G12" s="1"/>
    </row>
    <row r="13" spans="1:7" x14ac:dyDescent="0.25">
      <c r="A13" s="1"/>
      <c r="B13" s="39" t="s">
        <v>74</v>
      </c>
      <c r="C13" s="12">
        <f>C12*(1+'Fane 14. Nøgletal'!C12)</f>
        <v>44516.204389612925</v>
      </c>
      <c r="D13" s="13" t="s">
        <v>3</v>
      </c>
      <c r="E13" s="12">
        <f>E12*(1+'Fane 14. Nøgletal'!C12)</f>
        <v>17685.816526050115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207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168</v>
      </c>
      <c r="C8" s="100"/>
      <c r="D8" s="100"/>
      <c r="E8" s="100"/>
      <c r="F8" s="101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169</v>
      </c>
      <c r="C16" s="100"/>
      <c r="D16" s="100"/>
      <c r="E16" s="100"/>
      <c r="F16" s="101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170</v>
      </c>
      <c r="C24" s="100"/>
      <c r="D24" s="100"/>
      <c r="E24" s="100"/>
      <c r="F24" s="101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171</v>
      </c>
      <c r="C32" s="100"/>
      <c r="D32" s="100"/>
      <c r="E32" s="100"/>
      <c r="F32" s="101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/B2CffAJKT0Bhg1QxL5FRppvzW+FbiIA/71U6Uc6gpBb/Qt7161iixG6djUzJwpVg5hoqnSignpcUMAa5Z5N4g==" saltValue="uqkgfAdr2nNjFz7BiRSn1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208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31</v>
      </c>
      <c r="C8" s="100"/>
      <c r="D8" s="100"/>
      <c r="E8" s="100"/>
      <c r="F8" s="101"/>
      <c r="G8" s="1"/>
    </row>
    <row r="9" spans="1:7" ht="15" customHeight="1" x14ac:dyDescent="0.25">
      <c r="A9" s="1"/>
      <c r="B9" s="41" t="s">
        <v>32</v>
      </c>
      <c r="C9" s="96" t="s">
        <v>16</v>
      </c>
      <c r="D9" s="98"/>
      <c r="E9" s="96" t="s">
        <v>47</v>
      </c>
      <c r="F9" s="9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xP3phmzYeudJvC/WNZ1+YHgl3dNxvO5qWn8g9Wwp51n08JWunm67CxkEAdcCgXT/JczaeGCYpFHlKqxw599CA==" saltValue="DXVjTrXCnj7rb8E1bsW5e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209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156</v>
      </c>
      <c r="C8" s="100"/>
      <c r="D8" s="100"/>
      <c r="E8" s="100"/>
      <c r="F8" s="101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9" t="s">
        <v>157</v>
      </c>
      <c r="C15" s="100"/>
      <c r="D15" s="100"/>
      <c r="E15" s="100"/>
      <c r="F15" s="101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9" t="s">
        <v>155</v>
      </c>
      <c r="C22" s="100"/>
      <c r="D22" s="100"/>
      <c r="E22" s="100"/>
      <c r="F22" s="101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9" t="s">
        <v>158</v>
      </c>
      <c r="C29" s="100"/>
      <c r="D29" s="100"/>
      <c r="E29" s="100"/>
      <c r="F29" s="101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4xNxE/Mt9r3iZ0WQTS45wFnr1V8J7DM8ynn7gf5dsf5FY+yqn2LovOQicNhXaqzm3W8iCg+fF5kj1pedCOItbA==" saltValue="i9OQRY3059BlGRmOpPhpa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210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18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12</v>
      </c>
      <c r="C9" s="103"/>
      <c r="D9" s="103"/>
      <c r="E9" s="103"/>
      <c r="F9" s="104"/>
      <c r="G9" s="9">
        <v>-1848433</v>
      </c>
      <c r="H9" s="14" t="s">
        <v>3</v>
      </c>
      <c r="I9" s="1"/>
    </row>
    <row r="10" spans="1:9" x14ac:dyDescent="0.25">
      <c r="A10" s="1"/>
      <c r="B10" s="102" t="s">
        <v>135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25">
      <c r="A11" s="1"/>
      <c r="B11" s="102" t="s">
        <v>80</v>
      </c>
      <c r="C11" s="103"/>
      <c r="D11" s="103"/>
      <c r="E11" s="103"/>
      <c r="F11" s="104"/>
      <c r="G11" s="9">
        <v>1675335.2433862432</v>
      </c>
      <c r="H11" s="14" t="s">
        <v>3</v>
      </c>
      <c r="I11" s="1"/>
    </row>
    <row r="12" spans="1:9" x14ac:dyDescent="0.25">
      <c r="A12" s="1"/>
      <c r="B12" s="116" t="s">
        <v>15</v>
      </c>
      <c r="C12" s="117"/>
      <c r="D12" s="117"/>
      <c r="E12" s="117"/>
      <c r="F12" s="118"/>
      <c r="G12" s="19">
        <f>(G9+G10)+G11</f>
        <v>-173097.75661375676</v>
      </c>
      <c r="H12" s="18" t="s">
        <v>3</v>
      </c>
      <c r="I12" s="1"/>
    </row>
    <row r="13" spans="1:9" x14ac:dyDescent="0.25">
      <c r="A13" s="1"/>
      <c r="B13" s="102" t="s">
        <v>13</v>
      </c>
      <c r="C13" s="103"/>
      <c r="D13" s="103"/>
      <c r="E13" s="103"/>
      <c r="F13" s="104"/>
      <c r="G13" s="9">
        <v>1</v>
      </c>
      <c r="H13" s="14" t="s">
        <v>27</v>
      </c>
      <c r="I13" s="1"/>
    </row>
    <row r="14" spans="1:9" x14ac:dyDescent="0.25">
      <c r="A14" s="1"/>
      <c r="B14" s="99" t="s">
        <v>136</v>
      </c>
      <c r="C14" s="100"/>
      <c r="D14" s="100"/>
      <c r="E14" s="100"/>
      <c r="F14" s="101"/>
      <c r="G14" s="12">
        <f>IF(G13 = 0,0,-G12/G13)</f>
        <v>173097.75661375676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tefIdTNG7MxS2QuN4L8lurjxNW7D88xN8Lt2oJAubo4DRW/HyoC9c9R2mQd2Ap2KjNfURNUxk5T79+s3EyVGg==" saltValue="I+uYeTU+QALVOrtB4T6G0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54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9"/>
      <c r="C13" s="10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OZ8sLuI61wCpFFjgBIqigLJol+PTD4pMyKfExsNjjQjsRjIadCUTcDkVlJqIXNmPbyHypMsqgvQZkAJ8nhH6EA==" saltValue="NpJYbwEXszynYK3bRAKdW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tabSelected="1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65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10099271.259572616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44516.204389612925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17685.816526050115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171903.06409881575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-189876.92812728084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-124444.70445050266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-41617.971411452876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9977436.7405978572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omk.'!C17</f>
        <v>13589953.391981341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173097.75661375676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1702572.9851115753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25443060.874304533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gh94Fr09SPuzquN9ld0df6DfG/PKKpqWR7FVAt06q2Lxzp/ni8xzTbPbQfAqgzMu4j24sj10PAjXA1+8fRoVg==" saltValue="pvy4QJlG68XrSdx5vHQVN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85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29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9977436.7405978572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196555.50378977778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-186948.22773652646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-124358.33982561401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-136144.90915424225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9726540.7676712517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omk.'!C17*(1+'Fane 14. Nøgletal'!C12)</f>
        <v>13857675.473803375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-43488.995422769338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23540727.246051859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djuHMI89rc0MGkQVd99r1cgbWUHTvOF2bq02ObFYazHwDdPxTUKCEfMsB82AYzBUzwH4+9utWOCGdaXgQIlIJw==" saltValue="LFKqtwME86xQF9naWJle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193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29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9726540.7676712517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191612.85312312364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-182247.16485792084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-124272.03513777502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-134884.27809082673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9476750.1427078526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Nøgletal'!C12)^2</f>
        <v>14130671.6806373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-43488.995422769338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23563932.827922385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1uSCNSJoS3HKDIhXpuA5lkGPyXx5ZEH7QBfBIRaU8Nkd8bmxDqI4ZEbm3n0qPQTSzRWPIJ2/JzeMoila6OV+Q==" saltValue="rVYI/EOI3BuBSOG83N04d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194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29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9476750.1427078526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186691.9778113447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-177566.81299439116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-124185.7903453894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-133635.3198155303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9228054.197363887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14. Nøgletal'!C12)^3</f>
        <v>14409045.912745856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23637100.110109743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3eRPj/DxykuS6SYaDpdK/BwIXghcOueUSYnc5wWjwmoiyFQVrodECwRSGyavkYha6yVaSnZ3zFo7zMSO7+rqsg==" saltValue="qD3W8tRNRBMIBC1dfA7a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221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87" t="s">
        <v>81</v>
      </c>
      <c r="C9" s="88"/>
      <c r="D9" s="89"/>
      <c r="E9" s="7">
        <v>10252141.796204425</v>
      </c>
      <c r="F9" s="8" t="s">
        <v>3</v>
      </c>
      <c r="G9" s="1"/>
    </row>
    <row r="10" spans="1:7" x14ac:dyDescent="0.25">
      <c r="A10" s="1"/>
      <c r="B10" s="87" t="s">
        <v>82</v>
      </c>
      <c r="C10" s="88"/>
      <c r="D10" s="89"/>
      <c r="E10" s="7">
        <v>0</v>
      </c>
      <c r="F10" s="8" t="s">
        <v>3</v>
      </c>
      <c r="G10" s="1"/>
    </row>
    <row r="11" spans="1:7" x14ac:dyDescent="0.25">
      <c r="A11" s="1"/>
      <c r="B11" s="87" t="s">
        <v>83</v>
      </c>
      <c r="C11" s="88"/>
      <c r="D11" s="89"/>
      <c r="E11" s="7">
        <v>30230.62210586065</v>
      </c>
      <c r="F11" s="8" t="s">
        <v>3</v>
      </c>
      <c r="G11" s="1"/>
    </row>
    <row r="12" spans="1:7" x14ac:dyDescent="0.25">
      <c r="A12" s="1"/>
      <c r="B12" s="78" t="s">
        <v>67</v>
      </c>
      <c r="C12" s="79"/>
      <c r="D12" s="80"/>
      <c r="E12" s="7">
        <v>0</v>
      </c>
      <c r="F12" s="8" t="s">
        <v>3</v>
      </c>
      <c r="G12" s="1"/>
    </row>
    <row r="13" spans="1:7" x14ac:dyDescent="0.25">
      <c r="A13" s="1"/>
      <c r="B13" s="78" t="s">
        <v>68</v>
      </c>
      <c r="C13" s="79"/>
      <c r="D13" s="80"/>
      <c r="E13" s="9">
        <v>0</v>
      </c>
      <c r="F13" s="8" t="s">
        <v>3</v>
      </c>
      <c r="G13" s="1"/>
    </row>
    <row r="14" spans="1:7" x14ac:dyDescent="0.25">
      <c r="A14" s="1"/>
      <c r="B14" s="78" t="s">
        <v>41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40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43</v>
      </c>
      <c r="C16" s="79"/>
      <c r="D16" s="80"/>
      <c r="E16" s="9">
        <v>0</v>
      </c>
      <c r="F16" s="8" t="s">
        <v>3</v>
      </c>
      <c r="G16" s="1"/>
    </row>
    <row r="17" spans="1:7" x14ac:dyDescent="0.25">
      <c r="A17" s="1"/>
      <c r="B17" s="78" t="s">
        <v>42</v>
      </c>
      <c r="C17" s="79"/>
      <c r="D17" s="80"/>
      <c r="E17" s="9">
        <v>0</v>
      </c>
      <c r="F17" s="8" t="s">
        <v>3</v>
      </c>
      <c r="G17" s="1"/>
    </row>
    <row r="18" spans="1:7" x14ac:dyDescent="0.25">
      <c r="A18" s="1"/>
      <c r="B18" s="78" t="s">
        <v>26</v>
      </c>
      <c r="C18" s="79"/>
      <c r="D18" s="80"/>
      <c r="E18" s="9">
        <f>SUM(E9:E17)*'Fane 14. Nøgletal'!C11</f>
        <v>173772.09386944384</v>
      </c>
      <c r="F18" s="8" t="s">
        <v>3</v>
      </c>
      <c r="G18" s="1"/>
    </row>
    <row r="19" spans="1:7" x14ac:dyDescent="0.25">
      <c r="A19" s="1"/>
      <c r="B19" s="78" t="s">
        <v>10</v>
      </c>
      <c r="C19" s="79"/>
      <c r="D19" s="80"/>
      <c r="E19" s="9">
        <f>-SUM(E9:E18)*'Fane 5. Individuelt eff. krav'!G10</f>
        <v>-192132.80672464904</v>
      </c>
      <c r="F19" s="8" t="s">
        <v>3</v>
      </c>
      <c r="G19" s="1"/>
    </row>
    <row r="20" spans="1:7" x14ac:dyDescent="0.25">
      <c r="A20" s="1"/>
      <c r="B20" s="78" t="s">
        <v>38</v>
      </c>
      <c r="C20" s="79"/>
      <c r="D20" s="80"/>
      <c r="E20" s="9">
        <f>-'Fane 4.1. Gen. krav - drift'!G20</f>
        <v>-123963.02586109133</v>
      </c>
      <c r="F20" s="8" t="s">
        <v>3</v>
      </c>
      <c r="G20" s="1"/>
    </row>
    <row r="21" spans="1:7" x14ac:dyDescent="0.25">
      <c r="A21" s="1"/>
      <c r="B21" s="78" t="s">
        <v>39</v>
      </c>
      <c r="C21" s="79"/>
      <c r="D21" s="80"/>
      <c r="E21" s="9">
        <f>-'Fane 4.2. Gen. krav - anlæg'!G19</f>
        <v>-40777.420021373538</v>
      </c>
      <c r="F21" s="8" t="s">
        <v>3</v>
      </c>
      <c r="G21" s="1"/>
    </row>
    <row r="22" spans="1:7" x14ac:dyDescent="0.25">
      <c r="A22" s="1"/>
      <c r="B22" s="93" t="s">
        <v>28</v>
      </c>
      <c r="C22" s="94"/>
      <c r="D22" s="95"/>
      <c r="E22" s="10">
        <f>SUM(E9:E21)</f>
        <v>10099271.259572616</v>
      </c>
      <c r="F22" s="11" t="s">
        <v>3</v>
      </c>
      <c r="G22" s="1"/>
    </row>
    <row r="23" spans="1:7" x14ac:dyDescent="0.25">
      <c r="A23" s="1"/>
      <c r="B23" s="81" t="s">
        <v>17</v>
      </c>
      <c r="C23" s="82"/>
      <c r="D23" s="82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12574937.049354007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96" t="s">
        <v>132</v>
      </c>
      <c r="C26" s="97"/>
      <c r="D26" s="98"/>
      <c r="E26" s="10">
        <v>64504.273177448005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173098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1793991.7793362085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24705802.361440279</v>
      </c>
      <c r="F31" s="13" t="s">
        <v>3</v>
      </c>
      <c r="G31" s="1"/>
    </row>
    <row r="32" spans="1:7" ht="28.15" customHeight="1" x14ac:dyDescent="0.25">
      <c r="A32" s="1"/>
      <c r="B32" s="90" t="s">
        <v>189</v>
      </c>
      <c r="C32" s="91"/>
      <c r="D32" s="91"/>
      <c r="E32" s="91"/>
      <c r="F32" s="9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0lQNMv/nD1qudOrpzAlBsFtz8xYAqgNGP9OobK3ffFEeOcd8s1fliVWeQ4xNEWSydaF4fX5PYpzKW78XcXp/Cg==" saltValue="TaPtDSUUK+tKR7saSmn2KA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>
      <selection activeCell="G25" sqref="G25"/>
    </sheetView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6" t="s">
        <v>202</v>
      </c>
      <c r="C2" s="76"/>
      <c r="D2" s="76"/>
      <c r="E2" s="76"/>
      <c r="F2" s="76"/>
      <c r="G2" s="76"/>
      <c r="H2" s="76"/>
      <c r="I2" s="1"/>
    </row>
    <row r="3" spans="1:9" ht="15" customHeight="1" x14ac:dyDescent="0.25">
      <c r="A3" s="1"/>
      <c r="B3" s="76"/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99" t="s">
        <v>97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2" t="s">
        <v>86</v>
      </c>
      <c r="C6" s="103"/>
      <c r="D6" s="103"/>
      <c r="E6" s="103"/>
      <c r="F6" s="104"/>
      <c r="G6" s="26">
        <v>6266874.0174501445</v>
      </c>
      <c r="H6" s="14" t="s">
        <v>3</v>
      </c>
      <c r="I6" s="1"/>
    </row>
    <row r="7" spans="1:9" x14ac:dyDescent="0.25">
      <c r="A7" s="1"/>
      <c r="B7" s="102" t="s">
        <v>87</v>
      </c>
      <c r="C7" s="103"/>
      <c r="D7" s="103"/>
      <c r="E7" s="103"/>
      <c r="F7" s="104"/>
      <c r="G7" s="26">
        <f>G6*'Fane 14. Nøgletal'!C25</f>
        <v>125337.48034900289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98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88</v>
      </c>
      <c r="C11" s="103"/>
      <c r="D11" s="103"/>
      <c r="E11" s="103"/>
      <c r="F11" s="104"/>
      <c r="G11" s="26">
        <f>(G6-G7)*(1+'Fane 14. Nøgletal'!C9)</f>
        <v>6219534.0511223255</v>
      </c>
      <c r="H11" s="14" t="s">
        <v>3</v>
      </c>
      <c r="I11" s="1"/>
    </row>
    <row r="12" spans="1:9" x14ac:dyDescent="0.25">
      <c r="A12" s="1"/>
      <c r="B12" s="105" t="s">
        <v>89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25">
      <c r="A13" s="1"/>
      <c r="B13" s="102" t="s">
        <v>90</v>
      </c>
      <c r="C13" s="103"/>
      <c r="D13" s="103"/>
      <c r="E13" s="103"/>
      <c r="F13" s="104"/>
      <c r="G13" s="26">
        <f>(G11+G12)*'Fane 14. Nøgletal'!C25</f>
        <v>124390.68102244652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99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2" t="s">
        <v>91</v>
      </c>
      <c r="C17" s="103"/>
      <c r="D17" s="103"/>
      <c r="E17" s="103"/>
      <c r="F17" s="104"/>
      <c r="G17" s="26">
        <f>(G13/'Fane 14. Nøgletal'!C25-G13)*(1+'Fane 14. Nøgletal'!C11)</f>
        <v>6198151.2930545667</v>
      </c>
      <c r="H17" s="14" t="s">
        <v>3</v>
      </c>
      <c r="I17" s="1"/>
    </row>
    <row r="18" spans="1:9" x14ac:dyDescent="0.25">
      <c r="A18" s="1"/>
      <c r="B18" s="102" t="s">
        <v>222</v>
      </c>
      <c r="C18" s="103"/>
      <c r="D18" s="103"/>
      <c r="E18" s="103"/>
      <c r="F18" s="104"/>
      <c r="G18" s="26">
        <v>0</v>
      </c>
      <c r="H18" s="14" t="s">
        <v>3</v>
      </c>
      <c r="I18" s="1"/>
    </row>
    <row r="19" spans="1:9" x14ac:dyDescent="0.25">
      <c r="A19" s="1"/>
      <c r="B19" s="105" t="s">
        <v>92</v>
      </c>
      <c r="C19" s="106"/>
      <c r="D19" s="106"/>
      <c r="E19" s="106"/>
      <c r="F19" s="107"/>
      <c r="G19" s="26">
        <v>0</v>
      </c>
      <c r="H19" s="14" t="s">
        <v>3</v>
      </c>
      <c r="I19" s="1"/>
    </row>
    <row r="20" spans="1:9" x14ac:dyDescent="0.25">
      <c r="A20" s="1"/>
      <c r="B20" s="102" t="s">
        <v>93</v>
      </c>
      <c r="C20" s="103"/>
      <c r="D20" s="103"/>
      <c r="E20" s="103"/>
      <c r="F20" s="104"/>
      <c r="G20" s="26">
        <f>SUM(G17:G19)*'Fane 14. Nøgletal'!C25</f>
        <v>123963.02586109133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9" t="s">
        <v>100</v>
      </c>
      <c r="C23" s="100"/>
      <c r="D23" s="100"/>
      <c r="E23" s="100"/>
      <c r="F23" s="100"/>
      <c r="G23" s="100"/>
      <c r="H23" s="101"/>
      <c r="I23" s="1"/>
    </row>
    <row r="24" spans="1:9" x14ac:dyDescent="0.25">
      <c r="A24" s="1"/>
      <c r="B24" s="102" t="s">
        <v>94</v>
      </c>
      <c r="C24" s="103"/>
      <c r="D24" s="103"/>
      <c r="E24" s="103"/>
      <c r="F24" s="104"/>
      <c r="G24" s="26">
        <f>(SUM(G17:G19)-G20)*(1+'Fane 14. Nøgletal'!C11)</f>
        <v>6176842.0489090448</v>
      </c>
      <c r="H24" s="14" t="s">
        <v>3</v>
      </c>
      <c r="I24" s="1"/>
    </row>
    <row r="25" spans="1:9" x14ac:dyDescent="0.25">
      <c r="A25" s="1"/>
      <c r="B25" s="105" t="s">
        <v>95</v>
      </c>
      <c r="C25" s="106"/>
      <c r="D25" s="106"/>
      <c r="E25" s="106"/>
      <c r="F25" s="107"/>
      <c r="G25" s="26">
        <f>('Fane 2.1. Økonomisk ramme 2020'!C10+'Fane 2.1. Økonomisk ramme 2020'!C12+'Fane 2.1. Økonomisk ramme 2020'!C14)*(1+'Fane 14. Nøgletal'!C12)</f>
        <v>45393.173616088301</v>
      </c>
      <c r="H25" s="14" t="s">
        <v>3</v>
      </c>
      <c r="I25" s="1"/>
    </row>
    <row r="26" spans="1:9" x14ac:dyDescent="0.25">
      <c r="A26" s="1"/>
      <c r="B26" s="102" t="s">
        <v>96</v>
      </c>
      <c r="C26" s="103"/>
      <c r="D26" s="103"/>
      <c r="E26" s="103"/>
      <c r="F26" s="104"/>
      <c r="G26" s="26">
        <f>(G24+G25)*'Fane 14. Nøgletal'!C25</f>
        <v>124444.70445050266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9" t="s">
        <v>191</v>
      </c>
      <c r="C29" s="100"/>
      <c r="D29" s="100"/>
      <c r="E29" s="100"/>
      <c r="F29" s="100"/>
      <c r="G29" s="100"/>
      <c r="H29" s="101"/>
      <c r="I29" s="1"/>
    </row>
    <row r="30" spans="1:9" x14ac:dyDescent="0.25">
      <c r="A30" s="1"/>
      <c r="B30" s="102" t="s">
        <v>103</v>
      </c>
      <c r="C30" s="103"/>
      <c r="D30" s="103"/>
      <c r="E30" s="103"/>
      <c r="F30" s="104"/>
      <c r="G30" s="26">
        <f>(G24+G25-G26)*(1+'Fane 14. Nøgletal'!C12)</f>
        <v>6217916.9912807001</v>
      </c>
      <c r="H30" s="14" t="s">
        <v>3</v>
      </c>
      <c r="I30" s="1"/>
    </row>
    <row r="31" spans="1:9" x14ac:dyDescent="0.25">
      <c r="A31" s="1"/>
      <c r="B31" s="102" t="s">
        <v>145</v>
      </c>
      <c r="C31" s="103"/>
      <c r="D31" s="103"/>
      <c r="E31" s="103"/>
      <c r="F31" s="104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2" t="s">
        <v>220</v>
      </c>
      <c r="C32" s="103"/>
      <c r="D32" s="103"/>
      <c r="E32" s="103"/>
      <c r="F32" s="104"/>
      <c r="G32" s="26">
        <f>(G30+G31)*'Fane 14. Nøgletal'!C25</f>
        <v>124358.33982561401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9" t="s">
        <v>126</v>
      </c>
      <c r="C35" s="100"/>
      <c r="D35" s="100"/>
      <c r="E35" s="100"/>
      <c r="F35" s="100"/>
      <c r="G35" s="100"/>
      <c r="H35" s="101"/>
      <c r="I35" s="1"/>
    </row>
    <row r="36" spans="1:9" x14ac:dyDescent="0.25">
      <c r="A36" s="1"/>
      <c r="B36" s="102" t="s">
        <v>125</v>
      </c>
      <c r="C36" s="103"/>
      <c r="D36" s="103"/>
      <c r="E36" s="103"/>
      <c r="F36" s="104"/>
      <c r="G36" s="26">
        <f>(G30-G32)*(1+'Fane 14. Nøgletal'!C12)</f>
        <v>6213601.7568887509</v>
      </c>
      <c r="H36" s="14" t="s">
        <v>3</v>
      </c>
      <c r="I36" s="1"/>
    </row>
    <row r="37" spans="1:9" x14ac:dyDescent="0.25">
      <c r="A37" s="1"/>
      <c r="B37" s="102" t="s">
        <v>146</v>
      </c>
      <c r="C37" s="103"/>
      <c r="D37" s="103"/>
      <c r="E37" s="103"/>
      <c r="F37" s="104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2" t="s">
        <v>104</v>
      </c>
      <c r="C38" s="103"/>
      <c r="D38" s="103"/>
      <c r="E38" s="103"/>
      <c r="F38" s="104"/>
      <c r="G38" s="26">
        <f>(G36+G37)*'Fane 14. Nøgletal'!C25</f>
        <v>124272.03513777502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9" t="s">
        <v>127</v>
      </c>
      <c r="C41" s="100"/>
      <c r="D41" s="100"/>
      <c r="E41" s="100"/>
      <c r="F41" s="100"/>
      <c r="G41" s="100"/>
      <c r="H41" s="101"/>
      <c r="I41" s="1"/>
    </row>
    <row r="42" spans="1:9" x14ac:dyDescent="0.25">
      <c r="A42" s="1"/>
      <c r="B42" s="102" t="s">
        <v>124</v>
      </c>
      <c r="C42" s="103"/>
      <c r="D42" s="103"/>
      <c r="E42" s="103"/>
      <c r="F42" s="104"/>
      <c r="G42" s="26">
        <f>(G36-G38)*(1+'Fane 14. Nøgletal'!C12)</f>
        <v>6209289.5172694698</v>
      </c>
      <c r="H42" s="14" t="s">
        <v>3</v>
      </c>
      <c r="I42" s="1"/>
    </row>
    <row r="43" spans="1:9" x14ac:dyDescent="0.25">
      <c r="A43" s="1"/>
      <c r="B43" s="102" t="s">
        <v>147</v>
      </c>
      <c r="C43" s="103"/>
      <c r="D43" s="103"/>
      <c r="E43" s="103"/>
      <c r="F43" s="104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2" t="s">
        <v>105</v>
      </c>
      <c r="C44" s="103"/>
      <c r="D44" s="103"/>
      <c r="E44" s="103"/>
      <c r="F44" s="104"/>
      <c r="G44" s="26">
        <f>(G42+G43)*'Fane 14. Nøgletal'!C25</f>
        <v>124185.7903453894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ttxtWoD56KhLJOcoJAoKzUIRBvTB4ra92FJ3KcZpfVBQ4/Lbt9FKULjuLRIGPMJsfZ59Nh4nMMcVrLj/o+fiw==" saltValue="5aMH8YEf9ZFdm9EihvSWFA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8" t="s">
        <v>203</v>
      </c>
      <c r="C2" s="108"/>
      <c r="D2" s="108"/>
      <c r="E2" s="108"/>
      <c r="F2" s="108"/>
      <c r="G2" s="108"/>
      <c r="H2" s="108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9" t="s">
        <v>101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2" t="s">
        <v>106</v>
      </c>
      <c r="C5" s="103"/>
      <c r="D5" s="103"/>
      <c r="E5" s="103"/>
      <c r="F5" s="104"/>
      <c r="G5" s="26">
        <v>4604939.6396521218</v>
      </c>
      <c r="H5" s="14" t="s">
        <v>3</v>
      </c>
      <c r="I5" s="1"/>
    </row>
    <row r="6" spans="1:9" x14ac:dyDescent="0.25">
      <c r="A6" s="1"/>
      <c r="B6" s="102" t="s">
        <v>102</v>
      </c>
      <c r="C6" s="103"/>
      <c r="D6" s="103"/>
      <c r="E6" s="103"/>
      <c r="F6" s="104"/>
      <c r="G6" s="26">
        <f>G5*'Fane 14. Nøgletal'!C17</f>
        <v>41904.950720834313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107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2" t="s">
        <v>108</v>
      </c>
      <c r="C10" s="103"/>
      <c r="D10" s="103"/>
      <c r="E10" s="103"/>
      <c r="F10" s="104"/>
      <c r="G10" s="26">
        <f>(G5-G6)*(1+'Fane 14. Nøgletal'!C9)</f>
        <v>4620985.2294807145</v>
      </c>
      <c r="H10" s="14" t="s">
        <v>3</v>
      </c>
      <c r="I10" s="1"/>
    </row>
    <row r="11" spans="1:9" x14ac:dyDescent="0.25">
      <c r="A11" s="1"/>
      <c r="B11" s="105" t="s">
        <v>109</v>
      </c>
      <c r="C11" s="106"/>
      <c r="D11" s="106"/>
      <c r="E11" s="106"/>
      <c r="F11" s="107"/>
      <c r="G11" s="26">
        <v>0</v>
      </c>
      <c r="H11" s="14" t="s">
        <v>3</v>
      </c>
      <c r="I11" s="1"/>
    </row>
    <row r="12" spans="1:9" x14ac:dyDescent="0.25">
      <c r="A12" s="1"/>
      <c r="B12" s="102" t="s">
        <v>110</v>
      </c>
      <c r="C12" s="103"/>
      <c r="D12" s="103"/>
      <c r="E12" s="103"/>
      <c r="F12" s="104"/>
      <c r="G12" s="26">
        <f>G10*'Fane 14. Nøgletal'!C17+G11*'Fane 14. Nøgletal'!C18</f>
        <v>42050.965588274506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9" t="s">
        <v>111</v>
      </c>
      <c r="C15" s="100"/>
      <c r="D15" s="100"/>
      <c r="E15" s="100"/>
      <c r="F15" s="100"/>
      <c r="G15" s="100"/>
      <c r="H15" s="101"/>
      <c r="I15" s="1"/>
    </row>
    <row r="16" spans="1:9" x14ac:dyDescent="0.25">
      <c r="A16" s="1"/>
      <c r="B16" s="102" t="s">
        <v>112</v>
      </c>
      <c r="C16" s="103"/>
      <c r="D16" s="103"/>
      <c r="E16" s="103"/>
      <c r="F16" s="104"/>
      <c r="G16" s="26">
        <f>(G10+G11-G12)*(1+'Fane 14. Nøgletal'!C11)</f>
        <v>4656318.2529522218</v>
      </c>
      <c r="H16" s="14" t="s">
        <v>3</v>
      </c>
      <c r="I16" s="1"/>
    </row>
    <row r="17" spans="1:9" x14ac:dyDescent="0.25">
      <c r="A17" s="1"/>
      <c r="B17" s="102" t="s">
        <v>223</v>
      </c>
      <c r="C17" s="103"/>
      <c r="D17" s="103"/>
      <c r="E17" s="103"/>
      <c r="F17" s="104"/>
      <c r="G17" s="26">
        <v>30741.519619449693</v>
      </c>
      <c r="H17" s="14" t="s">
        <v>3</v>
      </c>
      <c r="I17" s="1"/>
    </row>
    <row r="18" spans="1:9" x14ac:dyDescent="0.25">
      <c r="A18" s="1"/>
      <c r="B18" s="105" t="s">
        <v>113</v>
      </c>
      <c r="C18" s="106"/>
      <c r="D18" s="106"/>
      <c r="E18" s="106"/>
      <c r="F18" s="107"/>
      <c r="G18" s="26">
        <v>0</v>
      </c>
      <c r="H18" s="14" t="s">
        <v>3</v>
      </c>
      <c r="I18" s="1"/>
    </row>
    <row r="19" spans="1:9" x14ac:dyDescent="0.25">
      <c r="A19" s="1"/>
      <c r="B19" s="102" t="s">
        <v>114</v>
      </c>
      <c r="C19" s="103"/>
      <c r="D19" s="103"/>
      <c r="E19" s="103"/>
      <c r="F19" s="104"/>
      <c r="G19" s="26">
        <f>SUM(G16:G18)*'Fane 14. Nøgletal'!C19</f>
        <v>40777.420021373538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115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2" t="s">
        <v>116</v>
      </c>
      <c r="C23" s="103"/>
      <c r="D23" s="103"/>
      <c r="E23" s="103"/>
      <c r="F23" s="104"/>
      <c r="G23" s="26">
        <f>(SUM(G16:G18)-G19)*(1+'Fane 14. Nøgletal'!C11)</f>
        <v>4724804.5243083974</v>
      </c>
      <c r="H23" s="14" t="s">
        <v>3</v>
      </c>
      <c r="I23" s="1"/>
    </row>
    <row r="24" spans="1:9" x14ac:dyDescent="0.25">
      <c r="A24" s="1"/>
      <c r="B24" s="105" t="s">
        <v>117</v>
      </c>
      <c r="C24" s="106"/>
      <c r="D24" s="106"/>
      <c r="E24" s="106"/>
      <c r="F24" s="107"/>
      <c r="G24" s="26">
        <f>('Fane 2.1. Økonomisk ramme 2020'!C11+'Fane 2.1. Økonomisk ramme 2020'!C13+'Fane 2.1. Økonomisk ramme 2020'!C15)*(1+'Fane 14. Nøgletal'!C12)</f>
        <v>18034.227111613305</v>
      </c>
      <c r="H24" s="14" t="s">
        <v>3</v>
      </c>
      <c r="I24" s="1"/>
    </row>
    <row r="25" spans="1:9" x14ac:dyDescent="0.25">
      <c r="A25" s="1"/>
      <c r="B25" s="102" t="s">
        <v>118</v>
      </c>
      <c r="C25" s="103"/>
      <c r="D25" s="103"/>
      <c r="E25" s="103"/>
      <c r="F25" s="104"/>
      <c r="G25" s="26">
        <f>G23*'Fane 14. Nøgletal'!C19+G24*'Fane 14. Nøgletal'!C20</f>
        <v>41617.971411452876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190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2" t="s">
        <v>119</v>
      </c>
      <c r="C29" s="103"/>
      <c r="D29" s="103"/>
      <c r="E29" s="103"/>
      <c r="F29" s="104"/>
      <c r="G29" s="26">
        <f>(G23+G24-G25)*(1+'Fane 14. Nøgletal'!C12)</f>
        <v>4793834.8293747269</v>
      </c>
      <c r="H29" s="14" t="s">
        <v>3</v>
      </c>
      <c r="I29" s="1"/>
    </row>
    <row r="30" spans="1:9" x14ac:dyDescent="0.25">
      <c r="A30" s="1"/>
      <c r="B30" s="102" t="s">
        <v>151</v>
      </c>
      <c r="C30" s="103"/>
      <c r="D30" s="103"/>
      <c r="E30" s="103"/>
      <c r="F30" s="104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2" t="s">
        <v>219</v>
      </c>
      <c r="C31" s="103"/>
      <c r="D31" s="103"/>
      <c r="E31" s="103"/>
      <c r="F31" s="104"/>
      <c r="G31" s="26">
        <f>(G29+G30)*'Fane 14. Nøgletal'!C20</f>
        <v>136144.90915424225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128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2" t="s">
        <v>123</v>
      </c>
      <c r="C35" s="103"/>
      <c r="D35" s="103"/>
      <c r="E35" s="103"/>
      <c r="F35" s="104"/>
      <c r="G35" s="26">
        <f>(G29-G31)*(1+'Fane 14. Nøgletal'!C12)</f>
        <v>4749446.4116488285</v>
      </c>
      <c r="H35" s="14" t="s">
        <v>3</v>
      </c>
      <c r="I35" s="1"/>
    </row>
    <row r="36" spans="1:9" x14ac:dyDescent="0.25">
      <c r="A36" s="1"/>
      <c r="B36" s="102" t="s">
        <v>152</v>
      </c>
      <c r="C36" s="103"/>
      <c r="D36" s="103"/>
      <c r="E36" s="103"/>
      <c r="F36" s="104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2" t="s">
        <v>120</v>
      </c>
      <c r="C37" s="103"/>
      <c r="D37" s="103"/>
      <c r="E37" s="103"/>
      <c r="F37" s="104"/>
      <c r="G37" s="26">
        <f>(G35+G36)*'Fane 14. Nøgletal'!C20</f>
        <v>134884.27809082673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129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2" t="s">
        <v>122</v>
      </c>
      <c r="C41" s="103"/>
      <c r="D41" s="103"/>
      <c r="E41" s="103"/>
      <c r="F41" s="104"/>
      <c r="G41" s="26">
        <f>(G35-G37)*(1+'Fane 14. Nøgletal'!C12)</f>
        <v>4705469.0075890943</v>
      </c>
      <c r="H41" s="14" t="s">
        <v>3</v>
      </c>
      <c r="I41" s="1"/>
    </row>
    <row r="42" spans="1:9" x14ac:dyDescent="0.25">
      <c r="A42" s="1"/>
      <c r="B42" s="102" t="s">
        <v>153</v>
      </c>
      <c r="C42" s="103"/>
      <c r="D42" s="103"/>
      <c r="E42" s="103"/>
      <c r="F42" s="104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2" t="s">
        <v>121</v>
      </c>
      <c r="C43" s="103"/>
      <c r="D43" s="103"/>
      <c r="E43" s="103"/>
      <c r="F43" s="104"/>
      <c r="G43" s="26">
        <f>(G41+G42)*'Fane 14. Nøgletal'!C20</f>
        <v>133635.3198155303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wsElboXMnpJCysIuj2dWcI7K4jqiytJMEH4p3MX8xekb1/3C+QJCU0RnPhUdtWMzwSQDuYiy0x93KZmBQIALg==" saltValue="/Jul+kPeFc7cYX3TJCW5AA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144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178</v>
      </c>
      <c r="C9" s="103"/>
      <c r="D9" s="103"/>
      <c r="E9" s="103"/>
      <c r="F9" s="104"/>
      <c r="G9" s="25">
        <v>0.02</v>
      </c>
      <c r="H9" s="14"/>
      <c r="I9" s="1"/>
    </row>
    <row r="10" spans="1:9" x14ac:dyDescent="0.25">
      <c r="A10" s="1"/>
      <c r="B10" s="102" t="s">
        <v>179</v>
      </c>
      <c r="C10" s="103"/>
      <c r="D10" s="103"/>
      <c r="E10" s="103"/>
      <c r="F10" s="104"/>
      <c r="G10" s="25">
        <v>1.8375110108782941E-2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9"/>
      <c r="C13" s="109"/>
      <c r="D13" s="109"/>
      <c r="E13" s="109"/>
      <c r="F13" s="109"/>
      <c r="G13" s="109"/>
      <c r="H13" s="109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t5/0A3U3P0mEFsRzJ3wRhHtboBZ75ON7xeZATVyazHU1s9Pl6p9oAcEIlqOWWMkPuf2jwDUGeG+pMwBQtrt60Q==" saltValue="hc+Jvz5AJq6mWHKhoNLOx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2021-09-15T08:25:46Z</dcterms:modified>
</cp:coreProperties>
</file>