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Spildevand\HOFOR Spildevand Albertslund AS (S041)\ØR2024\"/>
    </mc:Choice>
  </mc:AlternateContent>
  <xr:revisionPtr revIDLastSave="0" documentId="13_ncr:1_{2230F07B-5997-4FC0-97EB-5720D92011B8}"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25" i="44" l="1"/>
  <c r="E16" i="44" l="1"/>
  <c r="E18" i="44" s="1"/>
  <c r="E17" i="44"/>
  <c r="E29" i="44" l="1"/>
  <c r="E31" i="44" s="1"/>
  <c r="C9" i="2"/>
  <c r="C20" i="15" l="1"/>
  <c r="C32" i="2"/>
  <c r="E30" i="20"/>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G55" i="36" s="1"/>
  <c r="C19" i="2" s="1"/>
  <c r="G52" i="30" l="1"/>
  <c r="G54" i="30" s="1"/>
  <c r="G58" i="30" s="1"/>
  <c r="G59" i="36"/>
  <c r="G60" i="36" s="1"/>
  <c r="C13" i="15" s="1"/>
  <c r="C16" i="2"/>
  <c r="C17" i="2" s="1"/>
  <c r="C18" i="2" l="1"/>
  <c r="C20" i="2" s="1"/>
  <c r="G64" i="36"/>
  <c r="G65" i="36" s="1"/>
  <c r="C13" i="22" s="1"/>
  <c r="G69" i="36" l="1"/>
  <c r="G70" i="36" s="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<sst xmlns="http://schemas.openxmlformats.org/spreadsheetml/2006/main" count="653" uniqueCount="289">
  <si>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</si>
  <si>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</si>
  <si>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</si>
  <si>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</si>
  <si>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</si>
  <si>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</si>
  <si>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</si>
  <si>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</si>
  <si>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</si>
  <si>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</si>
  <si>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</si>
  <si>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</si>
  <si>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</si>
  <si>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</si>
  <si>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</si>
  <si>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</si>
  <si>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</si>
  <si>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</si>
  <si>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</si>
  <si>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</si>
  <si>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</si>
  <si>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</si>
  <si>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</si>
  <si>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</si>
  <si>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</si>
  <si>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</si>
  <si>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</si>
  <si>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</si>
  <si>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</si>
  <si>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</si>
  <si>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</si>
  <si>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</si>
  <si>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</si>
  <si>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</si>
  <si>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</si>
  <si>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</si>
  <si>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</si>
  <si>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</si>
  <si>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</si>
  <si>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</si>
  <si>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</si>
  <si>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</si>
  <si>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</si>
  <si>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</si>
  <si>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</si>
  <si>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</si>
  <si>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</si>
  <si>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</si>
  <si>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</si>
  <si>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</si>
  <si>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</si>
  <si>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</si>
  <si>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</si>
  <si>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</si>
  <si>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</si>
  <si>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</si>
  <si>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</si>
  <si>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</si>
  <si>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</si>
  <si>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</si>
  <si>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</si>
  <si>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</si>
  <si>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</si>
  <si>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</si>
  <si>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</si>
  <si>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</si>
  <si>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</si>
  <si>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</si>
  <si>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</si>
  <si>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</si>
  <si>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</si>
  <si>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</si>
  <si>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</si>
  <si>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</si>
  <si>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</si>
  <si>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</si>
  <si>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</si>
  <si>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</si>
  <si>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</si>
  <si>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</si>
  <si>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</si>
  <si>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</si>
  <si>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</si>
  <si>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</si>
  <si>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</si>
  <si>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</si>
  <si>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</si>
  <si>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</si>
  <si>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</si>
  <si>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</si>
  <si>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</si>
  <si>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</si>
  <si>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</si>
  <si>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</si>
  <si>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</si>
  <si>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</si>
  <si>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</si>
  <si>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</si>
  <si>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</si>
  <si>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</si>
  <si>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</si>
  <si>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</si>
  <si>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</si>
  <si>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</si>
  <si>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</si>
  <si>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</si>
  <si>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</si>
  <si>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</si>
  <si>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</si>
  <si>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</si>
  <si>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</si>
  <si>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</si>
  <si>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</si>
  <si>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</si>
  <si>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</si>
  <si>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</si>
  <si>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</si>
  <si>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</si>
  <si>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</si>
  <si>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</si>
  <si>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</si>
  <si>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</si>
  <si>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</si>
  <si>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</si>
  <si>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</si>
  <si>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</si>
  <si>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</si>
  <si>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</si>
  <si>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</si>
  <si>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</si>
  <si>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</si>
  <si>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</si>
  <si>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</si>
  <si>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</si>
  <si>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</si>
  <si>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</si>
  <si>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</si>
  <si>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</si>
  <si>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</si>
  <si>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</si>
  <si>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</si>
  <si>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</si>
  <si>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</si>
  <si>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</si>
  <si>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</si>
  <si>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</si>
  <si>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</si>
  <si>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</si>
  <si>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</si>
  <si>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</si>
  <si>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</si>
  <si>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</si>
  <si>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</si>
  <si>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</si>
  <si>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</si>
  <si>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</si>
  <si>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</si>
  <si>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</si>
  <si>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</si>
  <si>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</si>
  <si>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</si>
  <si>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</si>
  <si>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</si>
  <si>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</si>
  <si>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</si>
  <si>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</si>
  <si>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</si>
  <si>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</si>
  <si>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</si>
  <si>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</si>
  <si>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</si>
  <si>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</si>
  <si>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</si>
  <si>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</si>
  <si>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</si>
  <si>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</si>
  <si>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</si>
  <si>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</si>
  <si>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</si>
  <si>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</si>
  <si>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</si>
  <si>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</si>
  <si>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</si>
  <si>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</si>
  <si>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</si>
  <si>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</si>
  <si>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</si>
  <si>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</si>
  <si>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</si>
  <si>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</si>
  <si>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</si>
  <si>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</si>
  <si>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</si>
  <si>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</si>
  <si>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</si>
  <si>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</si>
  <si>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</si>
  <si>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</si>
  <si>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</si>
  <si>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</si>
  <si>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</si>
  <si>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</si>
  <si>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</si>
  <si>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</si>
  <si>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</si>
  <si>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</si>
  <si>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</si>
  <si>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</si>
  <si>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</si>
  <si>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</si>
  <si>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</si>
  <si>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</si>
  <si>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</si>
  <si>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</si>
  <si>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</si>
  <si>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</si>
  <si>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</si>
  <si>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</si>
  <si>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</si>
  <si>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</si>
  <si>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</si>
  <si>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</si>
  <si>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</si>
  <si>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</si>
  <si>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</si>
  <si>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</si>
  <si>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</si>
  <si>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</si>
  <si>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</si>
  <si>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</si>
  <si>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</si>
  <si>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</si>
  <si>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</si>
  <si>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</si>
  <si>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</si>
  <si>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</si>
  <si>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</si>
  <si>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</si>
  <si>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</si>
  <si>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</si>
  <si>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</si>
  <si>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</si>
  <si>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</si>
  <si>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</si>
  <si>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</si>
  <si>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</si>
  <si>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</si>
  <si>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</si>
  <si>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</si>
  <si>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</si>
  <si>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</si>
  <si>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</si>
  <si>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</si>
  <si>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</si>
  <si>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</si>
  <si>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</si>
  <si>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</si>
  <si>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</si>
  <si>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</si>
  <si>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</si>
  <si>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</si>
  <si>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</si>
  <si>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</si>
  <si>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</si>
  <si>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</si>
  <si>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</si>
  <si>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</si>
  <si>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</si>
  <si>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</si>
  <si>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</si>
  <si>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</si>
  <si>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</si>
  <si>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Afgift til Forsyningssekretariatet</t>
  </si>
  <si>
    <t>Køb af ydelser og produkter fra andre vandselskaber reguleret af vandsektorloven</t>
  </si>
  <si>
    <t>Ejendomsskatter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</si>
  <si>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</si>
  <si>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</si>
  <si>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</si>
  <si>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</si>
  <si>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</si>
  <si>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</si>
  <si>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</si>
  <si>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</si>
  <si>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</si>
  <si>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</si>
  <si>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</si>
  <si>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</si>
  <si>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Øgede antal forbrugere</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</si>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</sst>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2" t="s">
        <v>4</v>
      </c>
      <c r="E6" s="92"/>
      <c r="F6" s="92"/>
      <c r="G6" s="92"/>
      <c r="H6" s="3"/>
      <c r="I6" s="1"/>
    </row>
    <row r="7" spans="1:9" ht="15" customHeight="1" x14ac:dyDescent="0.25">
      <c r="A7" s="1"/>
      <c r="B7" s="1"/>
      <c r="C7" s="3"/>
      <c r="D7" s="92"/>
      <c r="E7" s="92"/>
      <c r="F7" s="92"/>
      <c r="G7" s="92"/>
      <c r="H7" s="3"/>
      <c r="I7" s="1"/>
    </row>
    <row r="8" spans="1:9" ht="15.75" x14ac:dyDescent="0.25">
      <c r="A8" s="1"/>
      <c r="B8" s="1"/>
      <c r="C8" s="4"/>
      <c r="D8" s="100" t="s">
        <v>252</v>
      </c>
      <c r="E8" s="100"/>
      <c r="F8" s="100"/>
      <c r="G8" s="100"/>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9" t="s">
        <v>5</v>
      </c>
      <c r="E11" s="99"/>
      <c r="F11" s="99"/>
      <c r="G11" s="99"/>
      <c r="H11" s="5"/>
      <c r="I11" s="1"/>
    </row>
    <row r="12" spans="1:9" x14ac:dyDescent="0.25">
      <c r="A12" s="1"/>
      <c r="B12" s="1"/>
      <c r="C12" s="1"/>
      <c r="D12" s="1"/>
      <c r="E12" s="1"/>
      <c r="F12" s="1"/>
      <c r="G12" s="1"/>
      <c r="H12" s="5"/>
      <c r="I12" s="1"/>
    </row>
    <row r="13" spans="1:9" x14ac:dyDescent="0.25">
      <c r="A13" s="1"/>
      <c r="B13" s="1"/>
      <c r="C13" s="6" t="s">
        <v>6</v>
      </c>
      <c r="D13" s="104" t="s">
        <v>196</v>
      </c>
      <c r="E13" s="105"/>
      <c r="F13" s="105"/>
      <c r="G13" s="106"/>
      <c r="H13" s="5"/>
      <c r="I13" s="1"/>
    </row>
    <row r="14" spans="1:9" x14ac:dyDescent="0.25">
      <c r="A14" s="1"/>
      <c r="B14" s="1"/>
      <c r="C14" s="6" t="s">
        <v>16</v>
      </c>
      <c r="D14" s="89" t="s">
        <v>197</v>
      </c>
      <c r="E14" s="90"/>
      <c r="F14" s="90"/>
      <c r="G14" s="91"/>
      <c r="H14" s="5"/>
      <c r="I14" s="1"/>
    </row>
    <row r="15" spans="1:9" x14ac:dyDescent="0.25">
      <c r="A15" s="1"/>
      <c r="B15" s="1"/>
      <c r="C15" s="6" t="s">
        <v>31</v>
      </c>
      <c r="D15" s="89" t="s">
        <v>262</v>
      </c>
      <c r="E15" s="90"/>
      <c r="F15" s="90"/>
      <c r="G15" s="91"/>
      <c r="H15" s="5"/>
      <c r="I15" s="1"/>
    </row>
    <row r="16" spans="1:9" x14ac:dyDescent="0.25">
      <c r="A16" s="1"/>
      <c r="B16" s="1"/>
      <c r="C16" s="6" t="s">
        <v>32</v>
      </c>
      <c r="D16" s="89" t="s">
        <v>263</v>
      </c>
      <c r="E16" s="90"/>
      <c r="F16" s="90"/>
      <c r="G16" s="91"/>
      <c r="H16" s="5"/>
      <c r="I16" s="1"/>
    </row>
    <row r="17" spans="1:9" x14ac:dyDescent="0.25">
      <c r="A17" s="1"/>
      <c r="B17" s="1"/>
      <c r="C17" s="6" t="s">
        <v>101</v>
      </c>
      <c r="D17" s="89" t="s">
        <v>198</v>
      </c>
      <c r="E17" s="90"/>
      <c r="F17" s="90"/>
      <c r="G17" s="91"/>
      <c r="H17" s="5"/>
      <c r="I17" s="1"/>
    </row>
    <row r="18" spans="1:9" x14ac:dyDescent="0.25">
      <c r="A18" s="1"/>
      <c r="B18" s="1"/>
      <c r="C18" s="6" t="s">
        <v>88</v>
      </c>
      <c r="D18" s="101" t="s">
        <v>79</v>
      </c>
      <c r="E18" s="102"/>
      <c r="F18" s="102"/>
      <c r="G18" s="103"/>
      <c r="H18" s="5"/>
      <c r="I18" s="1"/>
    </row>
    <row r="19" spans="1:9" x14ac:dyDescent="0.25">
      <c r="A19" s="1"/>
      <c r="B19" s="1"/>
      <c r="C19" s="6" t="s">
        <v>89</v>
      </c>
      <c r="D19" s="101" t="s">
        <v>80</v>
      </c>
      <c r="E19" s="102"/>
      <c r="F19" s="102"/>
      <c r="G19" s="103"/>
      <c r="H19" s="5"/>
      <c r="I19" s="1"/>
    </row>
    <row r="20" spans="1:9" x14ac:dyDescent="0.25">
      <c r="A20" s="1"/>
      <c r="B20" s="1"/>
      <c r="C20" s="6" t="s">
        <v>7</v>
      </c>
      <c r="D20" s="101" t="s">
        <v>10</v>
      </c>
      <c r="E20" s="102"/>
      <c r="F20" s="102"/>
      <c r="G20" s="103"/>
      <c r="H20" s="5"/>
      <c r="I20" s="1"/>
    </row>
    <row r="21" spans="1:9" x14ac:dyDescent="0.25">
      <c r="A21" s="1"/>
      <c r="B21" s="1"/>
      <c r="C21" s="6" t="s">
        <v>90</v>
      </c>
      <c r="D21" s="93" t="s">
        <v>12</v>
      </c>
      <c r="E21" s="94"/>
      <c r="F21" s="94"/>
      <c r="G21" s="95"/>
      <c r="H21" s="5"/>
      <c r="I21" s="1"/>
    </row>
    <row r="22" spans="1:9" x14ac:dyDescent="0.25">
      <c r="A22" s="1"/>
      <c r="B22" s="1"/>
      <c r="C22" s="6" t="s">
        <v>71</v>
      </c>
      <c r="D22" s="96" t="s">
        <v>199</v>
      </c>
      <c r="E22" s="97"/>
      <c r="F22" s="97"/>
      <c r="G22" s="98"/>
      <c r="H22" s="5"/>
      <c r="I22" s="1"/>
    </row>
    <row r="23" spans="1:9" x14ac:dyDescent="0.25">
      <c r="A23" s="1"/>
      <c r="B23" s="1"/>
      <c r="C23" s="6" t="s">
        <v>8</v>
      </c>
      <c r="D23" s="96" t="s">
        <v>181</v>
      </c>
      <c r="E23" s="97"/>
      <c r="F23" s="97"/>
      <c r="G23" s="98"/>
      <c r="H23" s="5"/>
      <c r="I23" s="1"/>
    </row>
    <row r="24" spans="1:9" x14ac:dyDescent="0.25">
      <c r="A24" s="1"/>
      <c r="B24" s="1"/>
      <c r="C24" s="6" t="s">
        <v>9</v>
      </c>
      <c r="D24" s="96" t="s">
        <v>200</v>
      </c>
      <c r="E24" s="97"/>
      <c r="F24" s="97"/>
      <c r="G24" s="98"/>
      <c r="H24" s="5"/>
      <c r="I24" s="1"/>
    </row>
    <row r="25" spans="1:9" x14ac:dyDescent="0.25">
      <c r="A25" s="1"/>
      <c r="B25" s="1"/>
      <c r="C25" s="6" t="s">
        <v>166</v>
      </c>
      <c r="D25" s="96" t="s">
        <v>160</v>
      </c>
      <c r="E25" s="97"/>
      <c r="F25" s="97"/>
      <c r="G25" s="98"/>
      <c r="H25" s="1"/>
      <c r="I25" s="1"/>
    </row>
    <row r="26" spans="1:9" x14ac:dyDescent="0.25">
      <c r="A26" s="1"/>
      <c r="B26" s="1"/>
      <c r="C26" s="6" t="s">
        <v>167</v>
      </c>
      <c r="D26" s="96" t="s">
        <v>72</v>
      </c>
      <c r="E26" s="97"/>
      <c r="F26" s="97"/>
      <c r="G26" s="98"/>
      <c r="H26" s="1"/>
      <c r="I26" s="1"/>
    </row>
    <row r="27" spans="1:9" x14ac:dyDescent="0.25">
      <c r="A27" s="1"/>
      <c r="B27" s="1"/>
      <c r="C27" s="6" t="s">
        <v>168</v>
      </c>
      <c r="D27" s="96" t="s">
        <v>73</v>
      </c>
      <c r="E27" s="97"/>
      <c r="F27" s="97"/>
      <c r="G27" s="98"/>
      <c r="H27" s="1"/>
      <c r="I27" s="1"/>
    </row>
    <row r="28" spans="1:9" x14ac:dyDescent="0.25">
      <c r="A28" s="1"/>
      <c r="B28" s="1"/>
      <c r="C28" s="6" t="s">
        <v>15</v>
      </c>
      <c r="D28" s="96" t="s">
        <v>74</v>
      </c>
      <c r="E28" s="97"/>
      <c r="F28" s="97"/>
      <c r="G28" s="98"/>
      <c r="H28" s="1"/>
      <c r="I28" s="1"/>
    </row>
    <row r="29" spans="1:9" x14ac:dyDescent="0.25">
      <c r="A29" s="1"/>
      <c r="B29" s="1"/>
      <c r="C29" s="6" t="s">
        <v>34</v>
      </c>
      <c r="D29" s="96" t="s">
        <v>114</v>
      </c>
      <c r="E29" s="97"/>
      <c r="F29" s="97"/>
      <c r="G29" s="98"/>
      <c r="H29" s="1"/>
      <c r="I29" s="1"/>
    </row>
    <row r="30" spans="1:9" x14ac:dyDescent="0.25">
      <c r="A30" s="1"/>
      <c r="B30" s="1"/>
      <c r="C30" s="6" t="s">
        <v>35</v>
      </c>
      <c r="D30" s="96" t="s">
        <v>33</v>
      </c>
      <c r="E30" s="97"/>
      <c r="F30" s="97"/>
      <c r="G30" s="98"/>
      <c r="H30" s="1"/>
      <c r="I30" s="1"/>
    </row>
    <row r="31" spans="1:9" x14ac:dyDescent="0.25">
      <c r="A31" s="1"/>
      <c r="B31" s="1"/>
      <c r="C31" s="6" t="s">
        <v>169</v>
      </c>
      <c r="D31" s="107" t="s">
        <v>87</v>
      </c>
      <c r="E31" s="108"/>
      <c r="F31" s="108"/>
      <c r="G31" s="109"/>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NDCp8tdwGxUw6Fe/DkGEytY58Yt+Hnof1xeiJ4TqyB4/7sdwcGKdWzkGQSsM33J/s4Fb+oWtwIBsTS6AEkiN0w==" saltValue="PekFEiAIwAq7QU+pudpQaQ=="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93</v>
      </c>
      <c r="C3" s="110"/>
      <c r="D3" s="110"/>
      <c r="E3" s="1"/>
      <c r="F3" s="1"/>
    </row>
    <row r="4" spans="1:6" ht="15" customHeight="1" x14ac:dyDescent="0.25">
      <c r="A4" s="1"/>
      <c r="B4" s="110"/>
      <c r="C4" s="110"/>
      <c r="D4" s="11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7" t="s">
        <v>224</v>
      </c>
      <c r="C8" s="118"/>
      <c r="D8" s="119"/>
      <c r="E8" s="1"/>
      <c r="F8" s="1"/>
    </row>
    <row r="9" spans="1:6" ht="15" customHeight="1" x14ac:dyDescent="0.25">
      <c r="A9" s="1"/>
      <c r="B9" s="27" t="s">
        <v>29</v>
      </c>
      <c r="C9" s="50" t="s">
        <v>225</v>
      </c>
      <c r="D9" s="11"/>
      <c r="E9" s="1"/>
      <c r="F9" s="1"/>
    </row>
    <row r="10" spans="1:6" ht="15" customHeight="1" x14ac:dyDescent="0.25">
      <c r="A10" s="1"/>
      <c r="B10" s="81" t="s">
        <v>272</v>
      </c>
      <c r="C10" s="9">
        <v>78490</v>
      </c>
      <c r="D10" s="14" t="s">
        <v>3</v>
      </c>
      <c r="E10" s="1"/>
      <c r="F10" s="1"/>
    </row>
    <row r="11" spans="1:6" ht="26.25" x14ac:dyDescent="0.25">
      <c r="A11" s="1"/>
      <c r="B11" s="29" t="s">
        <v>273</v>
      </c>
      <c r="C11" s="9">
        <v>8957642</v>
      </c>
      <c r="D11" s="14" t="s">
        <v>3</v>
      </c>
      <c r="E11" s="1"/>
      <c r="F11" s="1"/>
    </row>
    <row r="12" spans="1:6" x14ac:dyDescent="0.25">
      <c r="A12" s="1"/>
      <c r="B12" s="81" t="s">
        <v>274</v>
      </c>
      <c r="C12" s="9">
        <v>149286</v>
      </c>
      <c r="D12" s="14" t="s">
        <v>3</v>
      </c>
      <c r="E12" s="1"/>
      <c r="F12" s="1"/>
    </row>
    <row r="13" spans="1:6" x14ac:dyDescent="0.25">
      <c r="A13" s="1"/>
      <c r="B13" s="81"/>
      <c r="C13" s="9"/>
      <c r="D13" s="14" t="s">
        <v>3</v>
      </c>
      <c r="E13" s="1"/>
      <c r="F13" s="1"/>
    </row>
    <row r="14" spans="1:6" x14ac:dyDescent="0.25">
      <c r="A14" s="1"/>
      <c r="B14" s="81"/>
      <c r="C14" s="9"/>
      <c r="D14" s="14" t="s">
        <v>3</v>
      </c>
      <c r="E14" s="1"/>
      <c r="F14" s="1"/>
    </row>
    <row r="15" spans="1:6" x14ac:dyDescent="0.25">
      <c r="A15" s="1"/>
      <c r="B15" s="81"/>
      <c r="C15" s="9"/>
      <c r="D15" s="14" t="s">
        <v>3</v>
      </c>
      <c r="E15" s="1"/>
      <c r="F15" s="1"/>
    </row>
    <row r="16" spans="1:6" x14ac:dyDescent="0.25">
      <c r="A16" s="1"/>
      <c r="B16" s="81"/>
      <c r="C16" s="9"/>
      <c r="D16" s="14" t="s">
        <v>3</v>
      </c>
      <c r="E16" s="1"/>
      <c r="F16" s="1"/>
    </row>
    <row r="17" spans="1:6" x14ac:dyDescent="0.25">
      <c r="A17" s="1"/>
      <c r="B17" s="81"/>
      <c r="C17" s="9"/>
      <c r="D17" s="14" t="s">
        <v>3</v>
      </c>
      <c r="E17" s="1"/>
      <c r="F17" s="1"/>
    </row>
    <row r="18" spans="1:6" x14ac:dyDescent="0.25">
      <c r="A18" s="1"/>
      <c r="B18" s="81"/>
      <c r="C18" s="9"/>
      <c r="D18" s="14" t="s">
        <v>3</v>
      </c>
      <c r="E18" s="1"/>
      <c r="F18" s="1"/>
    </row>
    <row r="19" spans="1:6" x14ac:dyDescent="0.25">
      <c r="A19" s="1"/>
      <c r="B19" s="81"/>
      <c r="C19" s="9"/>
      <c r="D19" s="14" t="s">
        <v>3</v>
      </c>
      <c r="E19" s="1"/>
      <c r="F19" s="1"/>
    </row>
    <row r="20" spans="1:6" x14ac:dyDescent="0.25">
      <c r="A20" s="1"/>
      <c r="B20" s="33" t="s">
        <v>226</v>
      </c>
      <c r="C20" s="12">
        <f>SUM(C10:C19)</f>
        <v>9185418</v>
      </c>
      <c r="D20" s="13" t="s">
        <v>3</v>
      </c>
      <c r="E20" s="1"/>
      <c r="F20" s="1"/>
    </row>
    <row r="21" spans="1:6" x14ac:dyDescent="0.25">
      <c r="A21" s="1"/>
      <c r="B21" s="33" t="s">
        <v>227</v>
      </c>
      <c r="C21" s="12">
        <f>C20*(1+'Fane 15. Nøgletal'!C16)^2</f>
        <v>10729749.836171519</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7" t="s">
        <v>99</v>
      </c>
      <c r="C24" s="118"/>
      <c r="D24" s="119"/>
      <c r="E24" s="1"/>
      <c r="F24" s="1"/>
    </row>
    <row r="25" spans="1:6" x14ac:dyDescent="0.25">
      <c r="A25" s="1"/>
      <c r="B25" s="81" t="s">
        <v>109</v>
      </c>
      <c r="C25" s="9">
        <v>261415</v>
      </c>
      <c r="D25" s="14" t="s">
        <v>3</v>
      </c>
      <c r="E25" s="1"/>
      <c r="F25" s="1"/>
    </row>
    <row r="26" spans="1:6" x14ac:dyDescent="0.25">
      <c r="A26" s="1"/>
      <c r="B26" s="81" t="s">
        <v>123</v>
      </c>
      <c r="C26" s="9">
        <v>261804</v>
      </c>
      <c r="D26" s="14" t="s">
        <v>3</v>
      </c>
      <c r="E26" s="1"/>
      <c r="F26" s="1"/>
    </row>
    <row r="27" spans="1:6" x14ac:dyDescent="0.25">
      <c r="A27" s="1"/>
      <c r="B27" s="81" t="s">
        <v>142</v>
      </c>
      <c r="C27" s="9">
        <v>26721</v>
      </c>
      <c r="D27" s="14" t="s">
        <v>3</v>
      </c>
      <c r="E27" s="1"/>
      <c r="F27" s="1"/>
    </row>
    <row r="28" spans="1:6" x14ac:dyDescent="0.25">
      <c r="A28" s="1"/>
      <c r="B28" s="34" t="s">
        <v>261</v>
      </c>
      <c r="C28" s="9">
        <v>27122</v>
      </c>
      <c r="D28" s="38" t="s">
        <v>3</v>
      </c>
      <c r="E28" s="1"/>
      <c r="F28" s="1"/>
    </row>
    <row r="29" spans="1:6" x14ac:dyDescent="0.25">
      <c r="A29" s="1"/>
      <c r="B29" s="117"/>
      <c r="C29" s="118"/>
      <c r="D29" s="119"/>
      <c r="E29" s="1"/>
      <c r="F29" s="1"/>
    </row>
    <row r="30" spans="1:6" x14ac:dyDescent="0.25">
      <c r="A30" s="1"/>
      <c r="B30" s="1"/>
      <c r="C30" s="1"/>
      <c r="D30" s="1"/>
      <c r="E30" s="1"/>
      <c r="F30" s="1"/>
    </row>
    <row r="31" spans="1:6" x14ac:dyDescent="0.25">
      <c r="A31" s="1"/>
      <c r="B31" s="1"/>
      <c r="C31" s="1"/>
      <c r="D31" s="1"/>
      <c r="E31" s="1"/>
      <c r="F31" s="1"/>
    </row>
    <row r="32" spans="1:6" x14ac:dyDescent="0.25">
      <c r="A32" s="1"/>
      <c r="B32" s="117" t="s">
        <v>81</v>
      </c>
      <c r="C32" s="118"/>
      <c r="D32" s="119"/>
      <c r="E32" s="1"/>
      <c r="F32" s="1"/>
    </row>
    <row r="33" spans="1:6" x14ac:dyDescent="0.25">
      <c r="A33" s="1"/>
      <c r="B33" s="81" t="s">
        <v>109</v>
      </c>
      <c r="C33" s="9">
        <v>0</v>
      </c>
      <c r="D33" s="14" t="s">
        <v>3</v>
      </c>
      <c r="E33" s="1"/>
      <c r="F33" s="1"/>
    </row>
    <row r="34" spans="1:6" x14ac:dyDescent="0.25">
      <c r="A34" s="1"/>
      <c r="B34" s="81" t="s">
        <v>123</v>
      </c>
      <c r="C34" s="9">
        <v>0</v>
      </c>
      <c r="D34" s="14" t="s">
        <v>3</v>
      </c>
      <c r="E34" s="1"/>
      <c r="F34" s="1"/>
    </row>
    <row r="35" spans="1:6" x14ac:dyDescent="0.25">
      <c r="A35" s="1"/>
      <c r="B35" s="81" t="s">
        <v>142</v>
      </c>
      <c r="C35" s="9">
        <v>0</v>
      </c>
      <c r="D35" s="14" t="s">
        <v>3</v>
      </c>
      <c r="E35" s="1"/>
      <c r="F35" s="1"/>
    </row>
    <row r="36" spans="1:6" x14ac:dyDescent="0.25">
      <c r="A36" s="1"/>
      <c r="B36" s="34" t="s">
        <v>261</v>
      </c>
      <c r="C36" s="9">
        <v>0</v>
      </c>
      <c r="D36" s="38" t="s">
        <v>3</v>
      </c>
      <c r="E36" s="1"/>
      <c r="F36" s="1"/>
    </row>
    <row r="37" spans="1:6" x14ac:dyDescent="0.25">
      <c r="A37" s="1"/>
      <c r="B37" s="117"/>
      <c r="C37" s="118"/>
      <c r="D37" s="119"/>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q7RZYRwG6G8Z/wEx9IXFBX9jrIOuUtIhLF/YtgyoHlggH5mQk6eS11x/b8BWThzmTFeJBZMV252K4+07sTsJLg==" saltValue="gHdtzis6HXAKTgRHrlgSC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96AEF-2890-4D94-A4CB-36EE4E1B55E9}">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206</v>
      </c>
      <c r="C3" s="113"/>
      <c r="D3" s="113"/>
      <c r="E3" s="113"/>
      <c r="F3" s="113"/>
      <c r="G3" s="1"/>
    </row>
    <row r="4" spans="1:7" ht="15" customHeight="1" x14ac:dyDescent="0.25">
      <c r="A4" s="1"/>
      <c r="B4" s="113"/>
      <c r="C4" s="113"/>
      <c r="D4" s="113"/>
      <c r="E4" s="113"/>
      <c r="F4" s="113"/>
      <c r="G4" s="1"/>
    </row>
    <row r="5" spans="1:7" ht="15" customHeight="1" x14ac:dyDescent="0.25">
      <c r="A5" s="1"/>
      <c r="B5" s="74"/>
      <c r="C5" s="74"/>
      <c r="D5" s="74"/>
      <c r="E5" s="74"/>
      <c r="F5" s="74"/>
      <c r="G5" s="1"/>
    </row>
    <row r="6" spans="1:7" ht="15" customHeight="1" x14ac:dyDescent="0.25">
      <c r="A6" s="1"/>
      <c r="B6" s="74"/>
      <c r="C6" s="74"/>
      <c r="D6" s="74"/>
      <c r="E6" s="74"/>
      <c r="F6" s="74"/>
      <c r="G6" s="1"/>
    </row>
    <row r="7" spans="1:7" ht="15" customHeight="1" x14ac:dyDescent="0.25">
      <c r="A7" s="1"/>
      <c r="B7" s="1"/>
      <c r="C7" s="1"/>
      <c r="D7" s="1"/>
      <c r="E7" s="1"/>
      <c r="F7" s="1"/>
      <c r="G7" s="1"/>
    </row>
    <row r="8" spans="1:7" ht="15" customHeight="1" x14ac:dyDescent="0.25">
      <c r="A8" s="1"/>
      <c r="B8" s="117" t="s">
        <v>137</v>
      </c>
      <c r="C8" s="118"/>
      <c r="D8" s="118"/>
      <c r="E8" s="118"/>
      <c r="F8" s="119"/>
      <c r="G8" s="1"/>
    </row>
    <row r="9" spans="1:7" ht="15" customHeight="1" x14ac:dyDescent="0.25">
      <c r="A9" s="1"/>
      <c r="B9" s="120" t="s">
        <v>275</v>
      </c>
      <c r="C9" s="121"/>
      <c r="D9" s="122"/>
      <c r="E9" s="9">
        <v>8446133</v>
      </c>
      <c r="F9" s="14" t="s">
        <v>3</v>
      </c>
      <c r="G9" s="1"/>
    </row>
    <row r="10" spans="1:7" ht="15" customHeight="1" x14ac:dyDescent="0.25">
      <c r="A10" s="1"/>
      <c r="B10" s="120" t="s">
        <v>143</v>
      </c>
      <c r="C10" s="121"/>
      <c r="D10" s="122"/>
      <c r="E10" s="9">
        <v>7715730</v>
      </c>
      <c r="F10" s="14" t="s">
        <v>3</v>
      </c>
      <c r="G10" s="1"/>
    </row>
    <row r="11" spans="1:7" ht="15" customHeight="1" x14ac:dyDescent="0.25">
      <c r="A11" s="1"/>
      <c r="B11" s="120" t="s">
        <v>276</v>
      </c>
      <c r="C11" s="121"/>
      <c r="D11" s="122"/>
      <c r="E11" s="9">
        <v>8776744</v>
      </c>
      <c r="F11" s="14" t="s">
        <v>3</v>
      </c>
      <c r="G11" s="1"/>
    </row>
    <row r="12" spans="1:7" x14ac:dyDescent="0.25">
      <c r="A12" s="1"/>
      <c r="B12" s="33"/>
      <c r="C12" s="28"/>
      <c r="D12" s="28"/>
      <c r="E12" s="28"/>
      <c r="F12" s="19"/>
      <c r="G12" s="1"/>
    </row>
    <row r="13" spans="1:7" ht="42" customHeight="1" x14ac:dyDescent="0.25">
      <c r="A13" s="1"/>
      <c r="B13" s="114" t="s">
        <v>277</v>
      </c>
      <c r="C13" s="115"/>
      <c r="D13" s="115"/>
      <c r="E13" s="115"/>
      <c r="F13" s="116"/>
      <c r="G13" s="1"/>
    </row>
    <row r="14" spans="1:7" ht="15" customHeight="1" x14ac:dyDescent="0.25">
      <c r="A14" s="1"/>
      <c r="B14" s="1"/>
      <c r="C14" s="1"/>
      <c r="D14" s="1"/>
      <c r="E14" s="1"/>
      <c r="F14" s="1"/>
      <c r="G14" s="1"/>
    </row>
    <row r="15" spans="1:7" x14ac:dyDescent="0.25">
      <c r="A15" s="1"/>
      <c r="B15" s="75" t="s">
        <v>278</v>
      </c>
      <c r="C15" s="76"/>
      <c r="D15" s="76"/>
      <c r="E15" s="76"/>
      <c r="F15" s="77"/>
      <c r="G15" s="1"/>
    </row>
    <row r="16" spans="1:7" x14ac:dyDescent="0.25">
      <c r="A16" s="1"/>
      <c r="B16" s="78" t="s">
        <v>279</v>
      </c>
      <c r="C16" s="79"/>
      <c r="D16" s="80"/>
      <c r="E16" s="9">
        <f>IF(E11&lt;0,E11,0)</f>
        <v>0</v>
      </c>
      <c r="F16" s="14" t="s">
        <v>3</v>
      </c>
      <c r="G16" s="1"/>
    </row>
    <row r="17" spans="1:7" x14ac:dyDescent="0.25">
      <c r="A17" s="1"/>
      <c r="B17" s="78" t="s">
        <v>280</v>
      </c>
      <c r="C17" s="79"/>
      <c r="D17" s="80"/>
      <c r="E17" s="9">
        <f>IF(SUM(E10)&gt;0,SUM(E10),0)</f>
        <v>7715730</v>
      </c>
      <c r="F17" s="14" t="s">
        <v>3</v>
      </c>
      <c r="G17" s="1"/>
    </row>
    <row r="18" spans="1:7" x14ac:dyDescent="0.25">
      <c r="A18" s="1"/>
      <c r="B18" s="82" t="s">
        <v>281</v>
      </c>
      <c r="C18" s="83"/>
      <c r="D18" s="84"/>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5" t="s">
        <v>282</v>
      </c>
      <c r="C21" s="76"/>
      <c r="D21" s="76"/>
      <c r="E21" s="76"/>
      <c r="F21" s="77"/>
      <c r="G21" s="1"/>
    </row>
    <row r="22" spans="1:7" x14ac:dyDescent="0.25">
      <c r="A22" s="1"/>
      <c r="B22" s="78" t="s">
        <v>283</v>
      </c>
      <c r="C22" s="79"/>
      <c r="D22" s="80"/>
      <c r="E22" s="9">
        <v>46414607</v>
      </c>
      <c r="F22" s="14" t="s">
        <v>3</v>
      </c>
      <c r="G22" s="1"/>
    </row>
    <row r="23" spans="1:7" x14ac:dyDescent="0.25">
      <c r="A23" s="1"/>
      <c r="B23" s="78" t="s">
        <v>284</v>
      </c>
      <c r="C23" s="79"/>
      <c r="D23" s="80"/>
      <c r="E23" s="9">
        <v>37711054</v>
      </c>
      <c r="F23" s="14" t="s">
        <v>3</v>
      </c>
      <c r="G23" s="1"/>
    </row>
    <row r="24" spans="1:7" x14ac:dyDescent="0.25">
      <c r="A24" s="1"/>
      <c r="B24" s="78" t="s">
        <v>30</v>
      </c>
      <c r="C24" s="79"/>
      <c r="D24" s="80"/>
      <c r="E24" s="9">
        <v>0</v>
      </c>
      <c r="F24" s="14" t="s">
        <v>3</v>
      </c>
      <c r="G24" s="1"/>
    </row>
    <row r="25" spans="1:7" x14ac:dyDescent="0.25">
      <c r="A25" s="1"/>
      <c r="B25" s="82" t="s">
        <v>285</v>
      </c>
      <c r="C25" s="83"/>
      <c r="D25" s="84"/>
      <c r="E25" s="62">
        <f>E22-E23-E24</f>
        <v>8703553</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7" t="s">
        <v>286</v>
      </c>
      <c r="C28" s="118"/>
      <c r="D28" s="118"/>
      <c r="E28" s="118"/>
      <c r="F28" s="119"/>
      <c r="G28" s="1"/>
    </row>
    <row r="29" spans="1:7" x14ac:dyDescent="0.25">
      <c r="A29" s="1"/>
      <c r="B29" s="132" t="s">
        <v>116</v>
      </c>
      <c r="C29" s="133"/>
      <c r="D29" s="134"/>
      <c r="E29" s="9">
        <f>IF(E18&lt;0,IF(E25&lt;0,SUM(E18,E25),IF(E10&gt;0,SUM(E10:E11),E18)),IF(AND(E25&lt;0,SUM(E25,E11)&lt;0),IF(E11&lt;0,E25,IF(SUM(E10:E11)&gt;0,SUM(E25,E11),IF(AND(E25&lt;0,E18=0,E11&gt;0),IF(SUM(E9:E11)&gt;0,E25+E11,E25)))),0))</f>
        <v>0</v>
      </c>
      <c r="F29" s="14" t="s">
        <v>3</v>
      </c>
      <c r="G29" s="1"/>
    </row>
    <row r="30" spans="1:7" x14ac:dyDescent="0.25">
      <c r="A30" s="1"/>
      <c r="B30" s="132" t="s">
        <v>84</v>
      </c>
      <c r="C30" s="133"/>
      <c r="D30" s="134"/>
      <c r="E30" s="9">
        <v>2</v>
      </c>
      <c r="F30" s="14" t="s">
        <v>20</v>
      </c>
      <c r="G30" s="1"/>
    </row>
    <row r="31" spans="1:7" x14ac:dyDescent="0.25">
      <c r="A31" s="1"/>
      <c r="B31" s="135" t="s">
        <v>117</v>
      </c>
      <c r="C31" s="136"/>
      <c r="D31" s="137"/>
      <c r="E31" s="10">
        <f>E29/E30</f>
        <v>0</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TjnfypnN8/Uqd91lSq+H/KEeRSOdAWkNpVwubBg3MT3fJ8FF8qdq6EW+qB3HqPVdMv5GH8dr+kZh1XD+xyaiQQ==" saltValue="9U2gkfIDpkJz3F+Hl6axtQ=="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0" t="s">
        <v>170</v>
      </c>
      <c r="C3" s="110"/>
      <c r="D3" s="110"/>
      <c r="E3" s="110"/>
      <c r="F3" s="110"/>
      <c r="G3" s="110"/>
      <c r="H3" s="110"/>
      <c r="I3" s="1"/>
    </row>
    <row r="4" spans="1:9" ht="15" customHeight="1" x14ac:dyDescent="0.25">
      <c r="A4" s="1"/>
      <c r="B4" s="110"/>
      <c r="C4" s="110"/>
      <c r="D4" s="110"/>
      <c r="E4" s="110"/>
      <c r="F4" s="110"/>
      <c r="G4" s="110"/>
      <c r="H4" s="11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7" t="s">
        <v>189</v>
      </c>
      <c r="C8" s="118"/>
      <c r="D8" s="118"/>
      <c r="E8" s="118"/>
      <c r="F8" s="118"/>
      <c r="G8" s="118"/>
      <c r="H8" s="119"/>
      <c r="I8" s="1"/>
    </row>
    <row r="9" spans="1:9" ht="15" customHeight="1" x14ac:dyDescent="0.25">
      <c r="A9" s="1"/>
      <c r="B9" s="144" t="s">
        <v>171</v>
      </c>
      <c r="C9" s="145"/>
      <c r="D9" s="145"/>
      <c r="E9" s="145"/>
      <c r="F9" s="145"/>
      <c r="G9" s="145"/>
      <c r="H9" s="146"/>
      <c r="I9" s="1"/>
    </row>
    <row r="10" spans="1:9" x14ac:dyDescent="0.25">
      <c r="A10" s="1"/>
      <c r="B10" s="141" t="s">
        <v>172</v>
      </c>
      <c r="C10" s="142"/>
      <c r="D10" s="142"/>
      <c r="E10" s="142"/>
      <c r="F10" s="143"/>
      <c r="G10" s="9">
        <v>0</v>
      </c>
      <c r="H10" s="9" t="s">
        <v>3</v>
      </c>
      <c r="I10" s="1"/>
    </row>
    <row r="11" spans="1:9" x14ac:dyDescent="0.25">
      <c r="A11" s="1"/>
      <c r="B11" s="141" t="s">
        <v>173</v>
      </c>
      <c r="C11" s="142"/>
      <c r="D11" s="142"/>
      <c r="E11" s="142"/>
      <c r="F11" s="143"/>
      <c r="G11" s="9">
        <v>0</v>
      </c>
      <c r="H11" s="9" t="s">
        <v>3</v>
      </c>
      <c r="I11" s="1"/>
    </row>
    <row r="12" spans="1:9" x14ac:dyDescent="0.25">
      <c r="A12" s="1"/>
      <c r="B12" s="141" t="s">
        <v>174</v>
      </c>
      <c r="C12" s="142"/>
      <c r="D12" s="142"/>
      <c r="E12" s="142"/>
      <c r="F12" s="143"/>
      <c r="G12" s="9">
        <v>0</v>
      </c>
      <c r="H12" s="9" t="s">
        <v>3</v>
      </c>
      <c r="I12" s="1"/>
    </row>
    <row r="13" spans="1:9" x14ac:dyDescent="0.25">
      <c r="A13" s="1"/>
      <c r="B13" s="141" t="s">
        <v>175</v>
      </c>
      <c r="C13" s="142"/>
      <c r="D13" s="142"/>
      <c r="E13" s="142"/>
      <c r="F13" s="143"/>
      <c r="G13" s="9">
        <v>0</v>
      </c>
      <c r="H13" s="9" t="s">
        <v>3</v>
      </c>
      <c r="I13" s="1"/>
    </row>
    <row r="14" spans="1:9" x14ac:dyDescent="0.25">
      <c r="A14" s="1"/>
      <c r="B14" s="141" t="s">
        <v>176</v>
      </c>
      <c r="C14" s="142"/>
      <c r="D14" s="142"/>
      <c r="E14" s="142"/>
      <c r="F14" s="143"/>
      <c r="G14" s="9">
        <v>0</v>
      </c>
      <c r="H14" s="9" t="s">
        <v>3</v>
      </c>
      <c r="I14" s="1"/>
    </row>
    <row r="15" spans="1:9" x14ac:dyDescent="0.25">
      <c r="A15" s="1"/>
      <c r="B15" s="141" t="s">
        <v>177</v>
      </c>
      <c r="C15" s="142"/>
      <c r="D15" s="142"/>
      <c r="E15" s="142"/>
      <c r="F15" s="143"/>
      <c r="G15" s="9">
        <v>0</v>
      </c>
      <c r="H15" s="9" t="s">
        <v>3</v>
      </c>
      <c r="I15" s="1"/>
    </row>
    <row r="16" spans="1:9" x14ac:dyDescent="0.25">
      <c r="A16" s="1"/>
      <c r="B16" s="141" t="s">
        <v>178</v>
      </c>
      <c r="C16" s="142"/>
      <c r="D16" s="142"/>
      <c r="E16" s="142"/>
      <c r="F16" s="143"/>
      <c r="G16" s="9">
        <v>0</v>
      </c>
      <c r="H16" s="9" t="s">
        <v>3</v>
      </c>
      <c r="I16" s="1"/>
    </row>
    <row r="17" spans="1:9" x14ac:dyDescent="0.25">
      <c r="A17" s="1"/>
      <c r="B17" s="141" t="s">
        <v>179</v>
      </c>
      <c r="C17" s="142"/>
      <c r="D17" s="142"/>
      <c r="E17" s="142"/>
      <c r="F17" s="143"/>
      <c r="G17" s="9">
        <v>0</v>
      </c>
      <c r="H17" s="9" t="s">
        <v>3</v>
      </c>
      <c r="I17" s="1"/>
    </row>
    <row r="18" spans="1:9" x14ac:dyDescent="0.25">
      <c r="A18" s="1"/>
      <c r="B18" s="117" t="s">
        <v>180</v>
      </c>
      <c r="C18" s="118"/>
      <c r="D18" s="118"/>
      <c r="E18" s="118"/>
      <c r="F18" s="11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4ZW1/3o7IQr64J7naOMjsSGwJNX0SFd+Js3IJlumVsTLtOzUQ9zFYrWwVVPrasb4gHSj2qQQO2AXmSjC8i9Ajw==" saltValue="Bv9BGur+gZ+MGN3/cbFJgA=="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207</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228</v>
      </c>
      <c r="C9" s="118"/>
      <c r="D9" s="118"/>
      <c r="E9" s="118"/>
      <c r="F9" s="119"/>
      <c r="G9" s="1"/>
    </row>
    <row r="10" spans="1:7" x14ac:dyDescent="0.25">
      <c r="A10" s="1"/>
      <c r="B10" s="114" t="s">
        <v>82</v>
      </c>
      <c r="C10" s="115"/>
      <c r="D10" s="116"/>
      <c r="E10" s="7">
        <v>0</v>
      </c>
      <c r="F10" s="8" t="s">
        <v>3</v>
      </c>
      <c r="G10" s="1"/>
    </row>
    <row r="11" spans="1:7" x14ac:dyDescent="0.25">
      <c r="A11" s="1"/>
      <c r="B11" s="120" t="s">
        <v>229</v>
      </c>
      <c r="C11" s="121"/>
      <c r="D11" s="122"/>
      <c r="E11" s="7">
        <v>0</v>
      </c>
      <c r="F11" s="8" t="s">
        <v>3</v>
      </c>
      <c r="G11" s="1"/>
    </row>
    <row r="12" spans="1:7" x14ac:dyDescent="0.25">
      <c r="A12" s="1"/>
      <c r="B12" s="135" t="s">
        <v>83</v>
      </c>
      <c r="C12" s="136"/>
      <c r="D12" s="137"/>
      <c r="E12" s="10">
        <f>E11-E10</f>
        <v>0</v>
      </c>
      <c r="F12" s="11" t="s">
        <v>3</v>
      </c>
      <c r="G12" s="1"/>
    </row>
    <row r="13" spans="1:7" x14ac:dyDescent="0.25">
      <c r="A13" s="1"/>
      <c r="B13" s="117" t="s">
        <v>78</v>
      </c>
      <c r="C13" s="118"/>
      <c r="D13" s="118"/>
      <c r="E13" s="118"/>
      <c r="F13" s="119"/>
      <c r="G13" s="1"/>
    </row>
    <row r="14" spans="1:7" x14ac:dyDescent="0.25">
      <c r="A14" s="1"/>
      <c r="B14" s="120" t="s">
        <v>230</v>
      </c>
      <c r="C14" s="121"/>
      <c r="D14" s="122"/>
      <c r="E14" s="7">
        <v>260654</v>
      </c>
      <c r="F14" s="8" t="s">
        <v>3</v>
      </c>
      <c r="G14" s="1"/>
    </row>
    <row r="15" spans="1:7" x14ac:dyDescent="0.25">
      <c r="A15" s="1"/>
      <c r="B15" s="114" t="s">
        <v>231</v>
      </c>
      <c r="C15" s="115"/>
      <c r="D15" s="116"/>
      <c r="E15" s="7">
        <v>227984</v>
      </c>
      <c r="F15" s="8" t="s">
        <v>3</v>
      </c>
      <c r="G15" s="1"/>
    </row>
    <row r="16" spans="1:7" x14ac:dyDescent="0.25">
      <c r="A16" s="1"/>
      <c r="B16" s="135" t="s">
        <v>83</v>
      </c>
      <c r="C16" s="136"/>
      <c r="D16" s="137"/>
      <c r="E16" s="10">
        <f>E15-E14</f>
        <v>-32670</v>
      </c>
      <c r="F16" s="11" t="s">
        <v>3</v>
      </c>
      <c r="G16" s="1"/>
    </row>
    <row r="17" spans="1:7" x14ac:dyDescent="0.25">
      <c r="A17" s="1"/>
      <c r="B17" s="33" t="s">
        <v>232</v>
      </c>
      <c r="C17" s="28"/>
      <c r="D17" s="28"/>
      <c r="E17" s="12">
        <f>E12+E16</f>
        <v>-32670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RuNU8BrJpBUIVhQcbO1b2BqrJ79xO/cvZGJWFYV5wm+yn/J9ZcPG7yruLmxIqVKirqz3ZV3UkcFQcuMh80s6Zg==" saltValue="Ok9kkzLXWlSI7xhVrQ7SN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0" t="s">
        <v>182</v>
      </c>
      <c r="C3" s="110"/>
      <c r="D3" s="110"/>
      <c r="E3" s="110"/>
      <c r="F3" s="110"/>
      <c r="G3" s="110"/>
      <c r="H3" s="110"/>
      <c r="I3" s="110"/>
      <c r="J3" s="110"/>
      <c r="K3" s="110"/>
      <c r="L3" s="1"/>
    </row>
    <row r="4" spans="1:12" ht="15" customHeight="1" x14ac:dyDescent="0.25">
      <c r="A4" s="1"/>
      <c r="B4" s="110"/>
      <c r="C4" s="110"/>
      <c r="D4" s="110"/>
      <c r="E4" s="110"/>
      <c r="F4" s="110"/>
      <c r="G4" s="110"/>
      <c r="H4" s="110"/>
      <c r="I4" s="110"/>
      <c r="J4" s="110"/>
      <c r="K4" s="11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7" t="s">
        <v>149</v>
      </c>
      <c r="C8" s="118"/>
      <c r="D8" s="118"/>
      <c r="E8" s="118"/>
      <c r="F8" s="118"/>
      <c r="G8" s="118"/>
      <c r="H8" s="118"/>
      <c r="I8" s="118"/>
      <c r="J8" s="118"/>
      <c r="K8" s="119"/>
      <c r="L8" s="1"/>
    </row>
    <row r="9" spans="1:12" ht="39.75" customHeight="1" x14ac:dyDescent="0.25">
      <c r="A9" s="1"/>
      <c r="B9" s="18" t="s">
        <v>0</v>
      </c>
      <c r="C9" s="18" t="s">
        <v>1</v>
      </c>
      <c r="D9" s="147" t="s">
        <v>165</v>
      </c>
      <c r="E9" s="148"/>
      <c r="F9" s="147" t="s">
        <v>2</v>
      </c>
      <c r="G9" s="148"/>
      <c r="H9" s="147" t="s">
        <v>164</v>
      </c>
      <c r="I9" s="148"/>
      <c r="J9" s="147" t="s">
        <v>27</v>
      </c>
      <c r="K9" s="148"/>
      <c r="L9" s="1"/>
    </row>
    <row r="10" spans="1:12" x14ac:dyDescent="0.25">
      <c r="A10" s="1"/>
      <c r="B10" s="85" t="s">
        <v>265</v>
      </c>
      <c r="C10" s="45">
        <v>0</v>
      </c>
      <c r="D10" s="9">
        <v>0</v>
      </c>
      <c r="E10" s="14" t="s">
        <v>3</v>
      </c>
      <c r="F10" s="9">
        <f>IFERROR(D10/C10,0)</f>
        <v>0</v>
      </c>
      <c r="G10" s="14" t="s">
        <v>3</v>
      </c>
      <c r="H10" s="41">
        <v>0</v>
      </c>
      <c r="I10" s="14" t="s">
        <v>3</v>
      </c>
      <c r="J10" s="41">
        <v>0</v>
      </c>
      <c r="K10" s="14" t="s">
        <v>3</v>
      </c>
      <c r="L10" s="1"/>
    </row>
    <row r="11" spans="1:12" x14ac:dyDescent="0.25">
      <c r="A11" s="1"/>
      <c r="B11" s="75" t="s">
        <v>150</v>
      </c>
      <c r="C11" s="76"/>
      <c r="D11" s="77"/>
      <c r="E11" s="77"/>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tfD/w2V78qKzpoB/XKPY84vwCm3Kp4ouZCrum3IrHw1K01VEFMWg5RQItWaYCytnc261mRmk0CqA9eyyiUZN+g==" saltValue="J6le5qjwiyYQ6DqJZ5gai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183</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6" t="s">
        <v>17</v>
      </c>
      <c r="C9" s="86" t="s">
        <v>11</v>
      </c>
      <c r="D9" s="87"/>
      <c r="E9" s="86"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287</v>
      </c>
      <c r="C11" s="21">
        <v>1673050</v>
      </c>
      <c r="D11" s="14" t="s">
        <v>3</v>
      </c>
      <c r="E11" s="9">
        <v>0</v>
      </c>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1673050</v>
      </c>
      <c r="D19" s="13" t="s">
        <v>3</v>
      </c>
      <c r="E19" s="12">
        <f>SUM(E10:E18)</f>
        <v>0</v>
      </c>
      <c r="F19" s="13" t="s">
        <v>3</v>
      </c>
      <c r="G19" s="1"/>
    </row>
    <row r="20" spans="1:7" x14ac:dyDescent="0.25">
      <c r="A20" s="1"/>
      <c r="B20" s="33" t="s">
        <v>233</v>
      </c>
      <c r="C20" s="12">
        <f>C19*(1+'Fane 15. Nøgletal'!C16)</f>
        <v>1808232.44</v>
      </c>
      <c r="D20" s="13" t="s">
        <v>3</v>
      </c>
      <c r="E20" s="12">
        <f>E19*(1+'Fane 15. Nøgletal'!C16)</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5M7TOhkwDBHaK54oEw4gU09oSvOBn69kk7xIkCS7n6SDsrXAabE11MyzyGlE5d9qiWmygIZ/dov6ps6KJKgK8w==" saltValue="uLwAvBP4xI1O1LeoHVJHC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184</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260</v>
      </c>
      <c r="C8" s="118"/>
      <c r="D8" s="118"/>
      <c r="E8" s="118"/>
      <c r="F8" s="119"/>
      <c r="G8" s="1"/>
    </row>
    <row r="9" spans="1:7" x14ac:dyDescent="0.25">
      <c r="A9" s="1"/>
      <c r="B9" s="86" t="s">
        <v>17</v>
      </c>
      <c r="C9" s="86" t="s">
        <v>11</v>
      </c>
      <c r="D9" s="87"/>
      <c r="E9" s="86" t="s">
        <v>28</v>
      </c>
      <c r="F9" s="32"/>
      <c r="G9" s="1"/>
    </row>
    <row r="10" spans="1:7" x14ac:dyDescent="0.25">
      <c r="A10" s="1"/>
      <c r="B10" s="24" t="s">
        <v>288</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49"/>
      <c r="C16" s="149"/>
      <c r="D16" s="149"/>
      <c r="E16" s="149"/>
      <c r="F16" s="149"/>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9"/>
      <c r="C23" s="149"/>
      <c r="D23" s="149"/>
      <c r="E23" s="149"/>
      <c r="F23" s="149"/>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9"/>
      <c r="C30" s="149"/>
      <c r="D30" s="149"/>
      <c r="E30" s="149"/>
      <c r="F30" s="149"/>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NJLPrCxgWsfTMeIcG1Vp/bRTdJFVKmRvxzj1lktFzD8QeKADrr1sG/F2NnpQ556yjWij4YWvX9c7K8A4eJfoag==" saltValue="PMWwFVaQAmpTJD9iyQKB5A=="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185</v>
      </c>
      <c r="C3" s="113"/>
      <c r="D3" s="113"/>
      <c r="E3" s="113"/>
      <c r="F3" s="113"/>
      <c r="G3" s="1"/>
    </row>
    <row r="4" spans="1:7" ht="15" customHeight="1" x14ac:dyDescent="0.25">
      <c r="A4" s="1"/>
      <c r="B4" s="113"/>
      <c r="C4" s="113"/>
      <c r="D4" s="113"/>
      <c r="E4" s="113"/>
      <c r="F4" s="113"/>
      <c r="G4" s="1"/>
    </row>
    <row r="5" spans="1:7" x14ac:dyDescent="0.25">
      <c r="A5" s="1"/>
      <c r="B5" s="113"/>
      <c r="C5" s="113"/>
      <c r="D5" s="113"/>
      <c r="E5" s="113"/>
      <c r="F5" s="11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7" t="s">
        <v>110</v>
      </c>
      <c r="C9" s="118"/>
      <c r="D9" s="118"/>
      <c r="E9" s="118"/>
      <c r="F9" s="119"/>
      <c r="G9" s="1"/>
    </row>
    <row r="10" spans="1:7" x14ac:dyDescent="0.25">
      <c r="A10" s="1"/>
      <c r="B10" s="141" t="s">
        <v>236</v>
      </c>
      <c r="C10" s="142"/>
      <c r="D10" s="143"/>
      <c r="E10" s="9">
        <v>1283071.0833079021</v>
      </c>
      <c r="F10" s="14" t="s">
        <v>3</v>
      </c>
      <c r="G10" s="1"/>
    </row>
    <row r="11" spans="1:7" x14ac:dyDescent="0.25">
      <c r="A11" s="1"/>
      <c r="B11" s="150" t="s">
        <v>10</v>
      </c>
      <c r="C11" s="151"/>
      <c r="D11" s="152"/>
      <c r="E11" s="9">
        <f>-E10*'Fane 5. Individuelt eff. krav'!G9</f>
        <v>0</v>
      </c>
      <c r="F11" s="14" t="s">
        <v>3</v>
      </c>
      <c r="G11" s="1"/>
    </row>
    <row r="12" spans="1:7" x14ac:dyDescent="0.25">
      <c r="A12" s="1"/>
      <c r="B12" s="150" t="s">
        <v>23</v>
      </c>
      <c r="C12" s="151"/>
      <c r="D12" s="152"/>
      <c r="E12" s="9">
        <f>-E10*'Fane 15. Nøgletal'!C33</f>
        <v>-25661.421666158043</v>
      </c>
      <c r="F12" s="14" t="s">
        <v>3</v>
      </c>
      <c r="G12" s="1"/>
    </row>
    <row r="13" spans="1:7" x14ac:dyDescent="0.25">
      <c r="A13" s="1"/>
      <c r="B13" s="117" t="s">
        <v>111</v>
      </c>
      <c r="C13" s="118"/>
      <c r="D13" s="119"/>
      <c r="E13" s="12">
        <f>SUM(E10:E12)*(1+'Fane 15. Nøgletal'!C16)^2</f>
        <v>1468816.2379764304</v>
      </c>
      <c r="F13" s="13" t="s">
        <v>3</v>
      </c>
      <c r="G13" s="1"/>
    </row>
    <row r="14" spans="1:7" x14ac:dyDescent="0.25">
      <c r="A14" s="1"/>
      <c r="B14" s="1"/>
      <c r="C14" s="1"/>
      <c r="D14" s="1"/>
      <c r="E14" s="1"/>
      <c r="F14" s="1"/>
      <c r="G14" s="1"/>
    </row>
    <row r="15" spans="1:7" ht="15" customHeight="1" x14ac:dyDescent="0.25">
      <c r="A15" s="1"/>
      <c r="B15" s="117" t="s">
        <v>124</v>
      </c>
      <c r="C15" s="118"/>
      <c r="D15" s="118"/>
      <c r="E15" s="118"/>
      <c r="F15" s="119"/>
      <c r="G15" s="1"/>
    </row>
    <row r="16" spans="1:7" x14ac:dyDescent="0.25">
      <c r="A16" s="1"/>
      <c r="B16" s="141" t="s">
        <v>236</v>
      </c>
      <c r="C16" s="142"/>
      <c r="D16" s="143"/>
      <c r="E16" s="9">
        <v>1283071.0833079021</v>
      </c>
      <c r="F16" s="14" t="s">
        <v>3</v>
      </c>
      <c r="G16" s="1"/>
    </row>
    <row r="17" spans="1:7" x14ac:dyDescent="0.25">
      <c r="A17" s="1"/>
      <c r="B17" s="150" t="s">
        <v>10</v>
      </c>
      <c r="C17" s="151"/>
      <c r="D17" s="152"/>
      <c r="E17" s="9">
        <f>-E16*'Fane 5. Individuelt eff. krav'!G9</f>
        <v>0</v>
      </c>
      <c r="F17" s="14" t="s">
        <v>3</v>
      </c>
      <c r="G17" s="1"/>
    </row>
    <row r="18" spans="1:7" x14ac:dyDescent="0.25">
      <c r="A18" s="1"/>
      <c r="B18" s="150" t="s">
        <v>23</v>
      </c>
      <c r="C18" s="151"/>
      <c r="D18" s="152"/>
      <c r="E18" s="9">
        <f>-E16*'Fane 15. Nøgletal'!C33</f>
        <v>-25661.421666158043</v>
      </c>
      <c r="F18" s="14" t="s">
        <v>3</v>
      </c>
      <c r="G18" s="1"/>
    </row>
    <row r="19" spans="1:7" x14ac:dyDescent="0.25">
      <c r="A19" s="1"/>
      <c r="B19" s="117" t="s">
        <v>125</v>
      </c>
      <c r="C19" s="118"/>
      <c r="D19" s="119"/>
      <c r="E19" s="12">
        <f>SUM(E16:E18)*(1+'Fane 15. Nøgletal'!C16)^3</f>
        <v>1587496.5900049261</v>
      </c>
      <c r="F19" s="13" t="s">
        <v>3</v>
      </c>
      <c r="G19" s="1"/>
    </row>
    <row r="20" spans="1:7" x14ac:dyDescent="0.25">
      <c r="A20" s="1"/>
      <c r="B20" s="1"/>
      <c r="C20" s="1"/>
      <c r="D20" s="1"/>
      <c r="E20" s="1"/>
      <c r="F20" s="1"/>
      <c r="G20" s="1"/>
    </row>
    <row r="21" spans="1:7" ht="15" customHeight="1" x14ac:dyDescent="0.25">
      <c r="A21" s="1"/>
      <c r="B21" s="117" t="s">
        <v>145</v>
      </c>
      <c r="C21" s="118"/>
      <c r="D21" s="118"/>
      <c r="E21" s="118"/>
      <c r="F21" s="119"/>
      <c r="G21" s="1"/>
    </row>
    <row r="22" spans="1:7" x14ac:dyDescent="0.25">
      <c r="A22" s="1"/>
      <c r="B22" s="141" t="s">
        <v>236</v>
      </c>
      <c r="C22" s="142"/>
      <c r="D22" s="143"/>
      <c r="E22" s="9">
        <v>1283071.0833079021</v>
      </c>
      <c r="F22" s="14" t="s">
        <v>3</v>
      </c>
      <c r="G22" s="1"/>
    </row>
    <row r="23" spans="1:7" x14ac:dyDescent="0.25">
      <c r="A23" s="1"/>
      <c r="B23" s="150" t="s">
        <v>10</v>
      </c>
      <c r="C23" s="151"/>
      <c r="D23" s="152"/>
      <c r="E23" s="9">
        <f>-E22*'Fane 5. Individuelt eff. krav'!G9</f>
        <v>0</v>
      </c>
      <c r="F23" s="14" t="s">
        <v>3</v>
      </c>
      <c r="G23" s="1"/>
    </row>
    <row r="24" spans="1:7" x14ac:dyDescent="0.25">
      <c r="A24" s="1"/>
      <c r="B24" s="150" t="s">
        <v>23</v>
      </c>
      <c r="C24" s="151"/>
      <c r="D24" s="152"/>
      <c r="E24" s="9">
        <f>-E22*'Fane 15. Nøgletal'!C33</f>
        <v>-25661.421666158043</v>
      </c>
      <c r="F24" s="14" t="s">
        <v>3</v>
      </c>
      <c r="G24" s="1"/>
    </row>
    <row r="25" spans="1:7" x14ac:dyDescent="0.25">
      <c r="A25" s="1"/>
      <c r="B25" s="117" t="s">
        <v>146</v>
      </c>
      <c r="C25" s="118"/>
      <c r="D25" s="119"/>
      <c r="E25" s="12">
        <f>SUM(E22:E24)*(1+'Fane 15. Nøgletal'!C16)^4</f>
        <v>1715766.3144773238</v>
      </c>
      <c r="F25" s="13" t="s">
        <v>3</v>
      </c>
      <c r="G25" s="1"/>
    </row>
    <row r="26" spans="1:7" x14ac:dyDescent="0.25">
      <c r="A26" s="1"/>
      <c r="B26" s="1"/>
      <c r="C26" s="1"/>
      <c r="D26" s="1"/>
      <c r="E26" s="1"/>
      <c r="F26" s="1"/>
      <c r="G26" s="1"/>
    </row>
    <row r="27" spans="1:7" ht="15" customHeight="1" x14ac:dyDescent="0.25">
      <c r="A27" s="1"/>
      <c r="B27" s="117" t="s">
        <v>237</v>
      </c>
      <c r="C27" s="118"/>
      <c r="D27" s="118"/>
      <c r="E27" s="118"/>
      <c r="F27" s="119"/>
      <c r="G27" s="1"/>
    </row>
    <row r="28" spans="1:7" ht="14.25" customHeight="1" x14ac:dyDescent="0.25">
      <c r="A28" s="1"/>
      <c r="B28" s="141" t="s">
        <v>236</v>
      </c>
      <c r="C28" s="142"/>
      <c r="D28" s="143"/>
      <c r="E28" s="9">
        <v>1283071.0833079021</v>
      </c>
      <c r="F28" s="14" t="s">
        <v>3</v>
      </c>
      <c r="G28" s="1"/>
    </row>
    <row r="29" spans="1:7" x14ac:dyDescent="0.25">
      <c r="A29" s="1"/>
      <c r="B29" s="150" t="s">
        <v>10</v>
      </c>
      <c r="C29" s="151"/>
      <c r="D29" s="152"/>
      <c r="E29" s="9">
        <f>-E28*'Fane 5. Individuelt eff. krav'!G9</f>
        <v>0</v>
      </c>
      <c r="F29" s="14" t="s">
        <v>3</v>
      </c>
      <c r="G29" s="1"/>
    </row>
    <row r="30" spans="1:7" x14ac:dyDescent="0.25">
      <c r="A30" s="1"/>
      <c r="B30" s="150" t="s">
        <v>23</v>
      </c>
      <c r="C30" s="151"/>
      <c r="D30" s="152"/>
      <c r="E30" s="9">
        <f>-E28*'Fane 15. Nøgletal'!C33</f>
        <v>-25661.421666158043</v>
      </c>
      <c r="F30" s="14" t="s">
        <v>3</v>
      </c>
      <c r="G30" s="1"/>
    </row>
    <row r="31" spans="1:7" x14ac:dyDescent="0.25">
      <c r="A31" s="1"/>
      <c r="B31" s="117" t="s">
        <v>238</v>
      </c>
      <c r="C31" s="118"/>
      <c r="D31" s="119"/>
      <c r="E31" s="12">
        <f>SUM(E28:E30)*(1+'Fane 15. Nøgletal'!C16)^5</f>
        <v>1854400.2326870917</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u9p8X/5LyyGYvn3qxwv/bIcRI+EguLaUy9dvet31cfOp4VyGedg6YBY1VwAEwuGu45lfc6OBtBjaA9ABLqM3mQ==" saltValue="OjtL/IfDmyiZgj7foMmJ2A=="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186</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112</v>
      </c>
      <c r="C8" s="118"/>
      <c r="D8" s="118"/>
      <c r="E8" s="118"/>
      <c r="F8" s="119"/>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lUx19549YMZP2z04qHzKGb6oYsM0vtYmRXvjV3FlvSKcD8EMVfxRJU0XJH5zWk+wUSWSkPjElvydZdUip+is+g==" saltValue="+ZoYeu5A/B3trfTYDP4J6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187</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240</v>
      </c>
      <c r="C9" s="118"/>
      <c r="D9" s="118"/>
      <c r="E9" s="118"/>
      <c r="F9" s="119"/>
      <c r="G9" s="1"/>
    </row>
    <row r="10" spans="1:7" ht="26.25" customHeight="1" x14ac:dyDescent="0.25">
      <c r="A10" s="1"/>
      <c r="B10" s="31" t="s">
        <v>18</v>
      </c>
      <c r="C10" s="144" t="s">
        <v>11</v>
      </c>
      <c r="D10" s="146"/>
      <c r="E10" s="144" t="s">
        <v>28</v>
      </c>
      <c r="F10" s="146"/>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9"/>
      <c r="C15" s="149"/>
      <c r="D15" s="149"/>
      <c r="E15" s="149"/>
      <c r="F15" s="149"/>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9"/>
      <c r="C21" s="149"/>
      <c r="D21" s="149"/>
      <c r="E21" s="149"/>
      <c r="F21" s="149"/>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9"/>
      <c r="C27" s="149"/>
      <c r="D27" s="149"/>
      <c r="E27" s="149"/>
      <c r="F27" s="149"/>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LshdxMCAmdYCifMZfPq62xKnNdqemC6kcG7mIlFY7Fw3K+wQSFv7Q8nr1NM2MWtkdKtLZWeQOwWbcIn3iNGMQ==" saltValue="5qPMONRX4v8CKHx7K1N2+g=="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201</v>
      </c>
      <c r="C3" s="110"/>
      <c r="D3" s="110"/>
      <c r="E3" s="1"/>
    </row>
    <row r="4" spans="1:5" ht="15" customHeight="1" x14ac:dyDescent="0.25">
      <c r="A4" s="1"/>
      <c r="B4" s="110"/>
      <c r="C4" s="110"/>
      <c r="D4" s="11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34785149.510230698</v>
      </c>
      <c r="D9" s="8" t="s">
        <v>3</v>
      </c>
      <c r="E9" s="1"/>
    </row>
    <row r="10" spans="1:5" ht="17.25" customHeight="1" x14ac:dyDescent="0.25">
      <c r="A10" s="1"/>
      <c r="B10" s="88" t="s">
        <v>36</v>
      </c>
      <c r="C10" s="7">
        <f>'Fane 11.1. Varige tillæg'!C20</f>
        <v>1808232.44</v>
      </c>
      <c r="D10" s="8" t="s">
        <v>3</v>
      </c>
      <c r="E10" s="1"/>
    </row>
    <row r="11" spans="1:5" ht="17.25" customHeight="1" x14ac:dyDescent="0.25">
      <c r="A11" s="1"/>
      <c r="B11" s="88" t="s">
        <v>37</v>
      </c>
      <c r="C11" s="9">
        <f>'Fane 11.1. Varige tillæg'!E20</f>
        <v>0</v>
      </c>
      <c r="D11" s="8" t="s">
        <v>3</v>
      </c>
      <c r="E11" s="1"/>
    </row>
    <row r="12" spans="1:5" ht="17.25" customHeight="1" x14ac:dyDescent="0.25">
      <c r="A12" s="1"/>
      <c r="B12" s="88" t="s">
        <v>26</v>
      </c>
      <c r="C12" s="9">
        <f>-'Fane 14. Bortfald'!C13</f>
        <v>0</v>
      </c>
      <c r="D12" s="8" t="s">
        <v>3</v>
      </c>
      <c r="E12" s="1"/>
    </row>
    <row r="13" spans="1:5" ht="17.25" customHeight="1" x14ac:dyDescent="0.25">
      <c r="A13" s="1"/>
      <c r="B13" s="88" t="s">
        <v>25</v>
      </c>
      <c r="C13" s="9">
        <f>-'Fane 14. Bortfald'!E13</f>
        <v>0</v>
      </c>
      <c r="D13" s="8" t="s">
        <v>3</v>
      </c>
      <c r="E13" s="1"/>
    </row>
    <row r="14" spans="1:5" ht="17.25" customHeight="1" x14ac:dyDescent="0.25">
      <c r="A14" s="1"/>
      <c r="B14" s="88" t="s">
        <v>105</v>
      </c>
      <c r="C14" s="9">
        <f>'Fane 13. Tilknyttet virksomhed'!C14</f>
        <v>0</v>
      </c>
      <c r="D14" s="8" t="s">
        <v>3</v>
      </c>
      <c r="E14" s="1"/>
    </row>
    <row r="15" spans="1:5" ht="17.25" customHeight="1" x14ac:dyDescent="0.25">
      <c r="A15" s="1"/>
      <c r="B15" s="88" t="s">
        <v>106</v>
      </c>
      <c r="C15" s="9">
        <f>'Fane 13. Tilknyttet virksomhed'!E14</f>
        <v>0</v>
      </c>
      <c r="D15" s="8" t="s">
        <v>3</v>
      </c>
      <c r="E15" s="1"/>
    </row>
    <row r="16" spans="1:5" ht="17.25" customHeight="1" x14ac:dyDescent="0.25">
      <c r="A16" s="1"/>
      <c r="B16" s="88" t="s">
        <v>19</v>
      </c>
      <c r="C16" s="41">
        <f>SUM(C9)*'Fane 15. Nøgletal'!C16+SUM(C10:C15)*'Fane 15. Nøgletal'!C16</f>
        <v>2956745.2615786404</v>
      </c>
      <c r="D16" s="8" t="s">
        <v>3</v>
      </c>
      <c r="E16" s="1"/>
    </row>
    <row r="17" spans="1:5" ht="17.25" customHeight="1" x14ac:dyDescent="0.25">
      <c r="A17" s="1"/>
      <c r="B17" s="88" t="s">
        <v>10</v>
      </c>
      <c r="C17" s="41">
        <f>-SUM(C9,C10:C16)*'Fane 5. Individuelt eff. krav'!G9</f>
        <v>0</v>
      </c>
      <c r="D17" s="8" t="s">
        <v>3</v>
      </c>
      <c r="E17" s="1"/>
    </row>
    <row r="18" spans="1:5" ht="17.25" customHeight="1" x14ac:dyDescent="0.25">
      <c r="A18" s="1"/>
      <c r="B18" s="88" t="s">
        <v>23</v>
      </c>
      <c r="C18" s="41">
        <f>-'Fane 4.1. Gen. krav - drift'!G54</f>
        <v>-183673.10804348291</v>
      </c>
      <c r="D18" s="8" t="s">
        <v>3</v>
      </c>
      <c r="E18" s="1"/>
    </row>
    <row r="19" spans="1:5" ht="17.25" customHeight="1" x14ac:dyDescent="0.25">
      <c r="A19" s="1"/>
      <c r="B19" s="88" t="s">
        <v>24</v>
      </c>
      <c r="C19" s="41">
        <f>-'Fane 4.2. Gen. krav - anlæg'!G55</f>
        <v>0</v>
      </c>
      <c r="D19" s="8" t="s">
        <v>3</v>
      </c>
      <c r="E19" s="47"/>
    </row>
    <row r="20" spans="1:5" ht="17.25" customHeight="1" x14ac:dyDescent="0.25">
      <c r="A20" s="1"/>
      <c r="B20" s="82" t="s">
        <v>21</v>
      </c>
      <c r="C20" s="10">
        <f>SUM(C9:C19)</f>
        <v>39366454.103765853</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10991164.836171519</v>
      </c>
      <c r="D22" s="11" t="s">
        <v>3</v>
      </c>
      <c r="E22" s="1"/>
    </row>
    <row r="23" spans="1:5" ht="15" customHeight="1" x14ac:dyDescent="0.25">
      <c r="A23" s="1"/>
      <c r="B23" s="33" t="s">
        <v>74</v>
      </c>
      <c r="C23" s="28"/>
      <c r="D23" s="19"/>
      <c r="E23" s="1"/>
    </row>
    <row r="24" spans="1:5" ht="15" customHeight="1" x14ac:dyDescent="0.25">
      <c r="A24" s="1"/>
      <c r="B24" s="82" t="s">
        <v>74</v>
      </c>
      <c r="C24" s="10">
        <f>'Fane 12. Periodevise driftsomk.'!E13</f>
        <v>1468816.2379764304</v>
      </c>
      <c r="D24" s="11" t="s">
        <v>3</v>
      </c>
      <c r="E24" s="1"/>
    </row>
    <row r="25" spans="1:5" ht="15" customHeight="1" x14ac:dyDescent="0.25">
      <c r="A25" s="1"/>
      <c r="B25" s="44" t="s">
        <v>73</v>
      </c>
      <c r="C25" s="42"/>
      <c r="D25" s="43"/>
      <c r="E25" s="1"/>
    </row>
    <row r="26" spans="1:5" ht="15" customHeight="1" x14ac:dyDescent="0.25">
      <c r="A26" s="1"/>
      <c r="B26" s="88" t="s">
        <v>158</v>
      </c>
      <c r="C26" s="72">
        <f>'Fane 11.2. Engangstillæg'!C14</f>
        <v>0</v>
      </c>
      <c r="D26" s="8" t="s">
        <v>3</v>
      </c>
      <c r="E26" s="1"/>
    </row>
    <row r="27" spans="1:5" ht="15" customHeight="1" x14ac:dyDescent="0.25">
      <c r="A27" s="1"/>
      <c r="B27" s="88" t="s">
        <v>70</v>
      </c>
      <c r="C27" s="72">
        <f>'Fane 11.2. Engangstillæg'!E14</f>
        <v>0</v>
      </c>
      <c r="D27" s="8" t="s">
        <v>3</v>
      </c>
      <c r="E27" s="1"/>
    </row>
    <row r="28" spans="1:5" ht="15" customHeight="1" x14ac:dyDescent="0.25">
      <c r="A28" s="1"/>
      <c r="B28" s="88" t="s">
        <v>161</v>
      </c>
      <c r="C28" s="72">
        <f>-C26*('Fane 15. Nøgletal'!C33+'Fane 5. Individuelt eff. krav'!G9)</f>
        <v>0</v>
      </c>
      <c r="D28" s="8" t="s">
        <v>3</v>
      </c>
      <c r="E28" s="1"/>
    </row>
    <row r="29" spans="1:5" ht="15" customHeight="1" x14ac:dyDescent="0.25">
      <c r="A29" s="1"/>
      <c r="B29" s="88" t="s">
        <v>162</v>
      </c>
      <c r="C29" s="72">
        <f>-C27*('Fane 15. Nøgletal'!C28+'Fane 5. Individuelt eff. krav'!G9)</f>
        <v>0</v>
      </c>
      <c r="D29" s="8" t="s">
        <v>3</v>
      </c>
      <c r="E29" s="1"/>
    </row>
    <row r="30" spans="1:5" ht="15" customHeight="1" x14ac:dyDescent="0.25">
      <c r="A30" s="1"/>
      <c r="B30" s="70"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0</v>
      </c>
      <c r="D32" s="11" t="s">
        <v>3</v>
      </c>
      <c r="E32" s="1"/>
    </row>
    <row r="33" spans="1:5" ht="15" customHeight="1" x14ac:dyDescent="0.25">
      <c r="A33" s="1"/>
      <c r="B33" s="33" t="s">
        <v>200</v>
      </c>
      <c r="C33" s="28"/>
      <c r="D33" s="19"/>
      <c r="E33" s="1"/>
    </row>
    <row r="34" spans="1:5" x14ac:dyDescent="0.25">
      <c r="A34" s="1"/>
      <c r="B34" s="31" t="s">
        <v>200</v>
      </c>
      <c r="C34" s="10">
        <f>'Fane 9. Korrektion af ØR2022'!E17</f>
        <v>-32670</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3" t="s">
        <v>108</v>
      </c>
      <c r="C37" s="49">
        <f>SUM(C34,C32,C24,C30,C22,C20,C36)</f>
        <v>51793765.1779138</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KnamEeh8HS5rYK3wjRS1+F1JtFGHGMUPS0e19Df/5WnFA723z2+fpbwZdFn9+HT+TBel9PuDp6YFLFPNlH87rw==" saltValue="+YFVlp3pv/IStHAUwRTMt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3" t="s">
        <v>188</v>
      </c>
      <c r="C3" s="113"/>
      <c r="D3" s="1"/>
    </row>
    <row r="4" spans="1:4" ht="25.5" customHeight="1" x14ac:dyDescent="0.25">
      <c r="A4" s="1"/>
      <c r="B4" s="113"/>
      <c r="C4" s="11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1" t="s">
        <v>94</v>
      </c>
      <c r="C9" s="25">
        <v>1.2699999999999999E-2</v>
      </c>
      <c r="D9" s="1"/>
    </row>
    <row r="10" spans="1:4" x14ac:dyDescent="0.25">
      <c r="A10" s="1"/>
      <c r="B10" s="81" t="s">
        <v>95</v>
      </c>
      <c r="C10" s="25">
        <v>1.7500000000000002E-2</v>
      </c>
      <c r="D10" s="1"/>
    </row>
    <row r="11" spans="1:4" x14ac:dyDescent="0.25">
      <c r="A11" s="1"/>
      <c r="B11" s="81"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1"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1" t="s">
        <v>96</v>
      </c>
      <c r="C21" s="22">
        <v>9.1000000000000004E-3</v>
      </c>
      <c r="D21" s="1"/>
    </row>
    <row r="22" spans="1:4" x14ac:dyDescent="0.25">
      <c r="A22" s="1"/>
      <c r="B22" s="81" t="s">
        <v>118</v>
      </c>
      <c r="C22" s="22">
        <v>1.77E-2</v>
      </c>
      <c r="D22" s="1"/>
    </row>
    <row r="23" spans="1:4" x14ac:dyDescent="0.25">
      <c r="A23" s="1"/>
      <c r="B23" s="81" t="s">
        <v>119</v>
      </c>
      <c r="C23" s="22">
        <v>8.6999999999999994E-3</v>
      </c>
      <c r="D23" s="1"/>
    </row>
    <row r="24" spans="1:4" x14ac:dyDescent="0.25">
      <c r="A24" s="1"/>
      <c r="B24" s="81" t="s">
        <v>97</v>
      </c>
      <c r="C24" s="36">
        <v>2.8400000000000002E-2</v>
      </c>
      <c r="D24" s="1"/>
    </row>
    <row r="25" spans="1:4" x14ac:dyDescent="0.25">
      <c r="A25" s="1"/>
      <c r="B25" s="81" t="s">
        <v>120</v>
      </c>
      <c r="C25" s="36">
        <v>2.75E-2</v>
      </c>
      <c r="D25" s="1"/>
    </row>
    <row r="26" spans="1:4" x14ac:dyDescent="0.25">
      <c r="A26" s="1"/>
      <c r="B26" s="81"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1"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MvwhuMO8IqPzaE4fcuXTZPW3Zwm//LGXsXgW4C/42NXjB1wHNEWX5jYG9bGYsXmCRidzYndaN4uvV9TqbBdD1A==" saltValue="t5VFZUYTN5MLl1SEBG0OM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202</v>
      </c>
      <c r="C3" s="110"/>
      <c r="D3" s="110"/>
      <c r="E3" s="1"/>
    </row>
    <row r="4" spans="1:5" ht="15" customHeight="1" x14ac:dyDescent="0.25">
      <c r="A4" s="1"/>
      <c r="B4" s="110"/>
      <c r="C4" s="110"/>
      <c r="D4" s="110"/>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39366454.103765853</v>
      </c>
      <c r="D9" s="8" t="s">
        <v>3</v>
      </c>
      <c r="E9" s="1"/>
    </row>
    <row r="10" spans="1:5" ht="15" customHeight="1" x14ac:dyDescent="0.25">
      <c r="A10" s="1"/>
      <c r="B10" s="26" t="s">
        <v>19</v>
      </c>
      <c r="C10" s="7">
        <f>SUM(C9:C9)*'Fane 15. Nøgletal'!C16</f>
        <v>3180809.491584281</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-194543.61726992845</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42352719.978080206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11858517.622934178</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driftsomk.'!E19</f>
        <v>1587496.5900049261</v>
      </c>
      <c r="D18" s="11" t="s">
        <v>3</v>
      </c>
      <c r="E18" s="1"/>
    </row>
    <row r="19" spans="1:5" x14ac:dyDescent="0.25">
      <c r="A19" s="1"/>
      <c r="B19" s="33" t="s">
        <v>116</v>
      </c>
      <c r="C19" s="28"/>
      <c r="D19" s="19"/>
      <c r="E19" s="1"/>
    </row>
    <row r="20" spans="1:5" ht="15" customHeight="1" x14ac:dyDescent="0.25">
      <c r="A20" s="1"/>
      <c r="B20" s="31" t="s">
        <v>138</v>
      </c>
      <c r="C20" s="10">
        <f>'Fane 7. Kontrol af ØR2022'!E31</f>
        <v>0</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55798734.191019312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ojT9Gj31f5bUmh5dSLg2eqKNmClx7bbBulXwB1X6xy+T81g7wXRSOwpaAY2P6sjCGlSzh+Y/O2SvWNUxH+va0g==" saltValue="qoTbGPsIusScN78fBHRhk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203</v>
      </c>
      <c r="C3" s="110"/>
      <c r="D3" s="110"/>
      <c r="E3" s="1"/>
    </row>
    <row r="4" spans="1:5" ht="15" customHeight="1" x14ac:dyDescent="0.25">
      <c r="A4" s="1"/>
      <c r="B4" s="110"/>
      <c r="C4" s="110"/>
      <c r="D4" s="110"/>
      <c r="E4" s="1"/>
    </row>
    <row r="5" spans="1:5" x14ac:dyDescent="0.25">
      <c r="A5" s="1"/>
      <c r="B5" s="111" t="s">
        <v>253</v>
      </c>
      <c r="C5" s="111"/>
      <c r="D5" s="111"/>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42352719.978080206</v>
      </c>
      <c r="D9" s="8" t="s">
        <v>3</v>
      </c>
      <c r="E9" s="1"/>
    </row>
    <row r="10" spans="1:5" ht="15" customHeight="1" x14ac:dyDescent="0.25">
      <c r="A10" s="1"/>
      <c r="B10" s="26" t="s">
        <v>19</v>
      </c>
      <c r="C10" s="7">
        <f>SUM(C9:C9)*'Fane 15. Nøgletal'!C16</f>
        <v>3422099.7742288806</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-206057.4867144319</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45568762.265594654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12560449.083667258</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driftsomk.'!E25</f>
        <v>1715766.3144773238</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59844977.663739234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3qqfVXefL/gvuJqA734qptojreCm12dc92n2hpiA9ahshVlgv9nzpX0Jnuw1Ct0hp2Z1v+KFqtgH+9fcWzwWzQ==" saltValue="Fs38IwjPkEm1y1BLPKv9N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204</v>
      </c>
      <c r="C3" s="110"/>
      <c r="D3" s="110"/>
      <c r="E3" s="1"/>
      <c r="F3" s="1"/>
    </row>
    <row r="4" spans="1:6" ht="15" customHeight="1" x14ac:dyDescent="0.25">
      <c r="A4" s="1"/>
      <c r="B4" s="110"/>
      <c r="C4" s="110"/>
      <c r="D4" s="110"/>
      <c r="E4" s="1"/>
      <c r="F4" s="1"/>
    </row>
    <row r="5" spans="1:6" x14ac:dyDescent="0.25">
      <c r="A5" s="1"/>
      <c r="B5" s="111" t="s">
        <v>253</v>
      </c>
      <c r="C5" s="111"/>
      <c r="D5" s="111"/>
      <c r="E5" s="1"/>
      <c r="F5" s="1"/>
    </row>
    <row r="6" spans="1:6" x14ac:dyDescent="0.25">
      <c r="A6" s="1"/>
      <c r="B6" s="73"/>
      <c r="C6" s="73"/>
      <c r="D6" s="73"/>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45568762.265594654</v>
      </c>
      <c r="D9" s="8" t="s">
        <v>3</v>
      </c>
      <c r="E9" s="1"/>
      <c r="F9" s="1"/>
    </row>
    <row r="10" spans="1:6" ht="15" customHeight="1" x14ac:dyDescent="0.25">
      <c r="A10" s="1"/>
      <c r="B10" s="26" t="s">
        <v>19</v>
      </c>
      <c r="C10" s="7">
        <f>SUM(C9:C9)*'Fane 15. Nøgletal'!C16</f>
        <v>3681955.9910600479</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-218252.79300813883</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49032465.463646561</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13573575.312827572</v>
      </c>
      <c r="D16" s="11" t="s">
        <v>3</v>
      </c>
      <c r="E16" s="1"/>
      <c r="F16" s="1"/>
    </row>
    <row r="17" spans="1:6" ht="15" customHeight="1" x14ac:dyDescent="0.25">
      <c r="A17" s="1"/>
      <c r="B17" s="33" t="s">
        <v>74</v>
      </c>
      <c r="C17" s="28"/>
      <c r="D17" s="19"/>
      <c r="E17" s="1"/>
      <c r="F17" s="1"/>
    </row>
    <row r="18" spans="1:6" ht="15" customHeight="1" x14ac:dyDescent="0.25">
      <c r="A18" s="1"/>
      <c r="B18" s="82" t="s">
        <v>74</v>
      </c>
      <c r="C18" s="10">
        <f>'Fane 12. Periodevise driftsomk.'!E31</f>
        <v>1854400.2326870917</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64460441.009161226</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olHq4tEaVkrYXwhBTerOJIsZKlnMOOSZC2DcvVCiKTQOUxhDZKMtKz5+vH0b5AH72MgcxHzxNFbTxQVIdmUrIg==" saltValue="/O54KB0vkBYPqYZEmNNoi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3" t="s">
        <v>205</v>
      </c>
      <c r="C3" s="113"/>
      <c r="D3" s="113"/>
      <c r="E3" s="1"/>
    </row>
    <row r="4" spans="1:5"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35160695.064179435</v>
      </c>
      <c r="D9" s="8" t="s">
        <v>3</v>
      </c>
      <c r="E9" s="1"/>
    </row>
    <row r="10" spans="1:5" x14ac:dyDescent="0.25">
      <c r="A10" s="1"/>
      <c r="B10" s="88" t="s">
        <v>36</v>
      </c>
      <c r="C10" s="7">
        <v>0</v>
      </c>
      <c r="D10" s="8" t="s">
        <v>3</v>
      </c>
      <c r="E10" s="1"/>
    </row>
    <row r="11" spans="1:5" x14ac:dyDescent="0.25">
      <c r="A11" s="1"/>
      <c r="B11" s="88" t="s">
        <v>37</v>
      </c>
      <c r="C11" s="9">
        <v>63371.470800000003</v>
      </c>
      <c r="D11" s="8" t="s">
        <v>3</v>
      </c>
      <c r="E11" s="1"/>
    </row>
    <row r="12" spans="1:5" x14ac:dyDescent="0.25">
      <c r="A12" s="1"/>
      <c r="B12" s="88" t="s">
        <v>26</v>
      </c>
      <c r="C12" s="9">
        <v>0</v>
      </c>
      <c r="D12" s="8" t="s">
        <v>3</v>
      </c>
      <c r="E12" s="1"/>
    </row>
    <row r="13" spans="1:5" x14ac:dyDescent="0.25">
      <c r="A13" s="1"/>
      <c r="B13" s="88" t="s">
        <v>25</v>
      </c>
      <c r="C13" s="9">
        <v>0</v>
      </c>
      <c r="D13" s="8" t="s">
        <v>3</v>
      </c>
      <c r="E13" s="1"/>
    </row>
    <row r="14" spans="1:5" x14ac:dyDescent="0.25">
      <c r="A14" s="1"/>
      <c r="B14" s="88" t="s">
        <v>105</v>
      </c>
      <c r="C14" s="9">
        <v>0</v>
      </c>
      <c r="D14" s="8" t="s">
        <v>3</v>
      </c>
      <c r="E14" s="1"/>
    </row>
    <row r="15" spans="1:5" x14ac:dyDescent="0.25">
      <c r="A15" s="1"/>
      <c r="B15" s="88" t="s">
        <v>106</v>
      </c>
      <c r="C15" s="9">
        <v>0</v>
      </c>
      <c r="D15" s="8" t="s">
        <v>3</v>
      </c>
      <c r="E15" s="1"/>
    </row>
    <row r="16" spans="1:5" x14ac:dyDescent="0.25">
      <c r="A16" s="1"/>
      <c r="B16" s="88" t="s">
        <v>19</v>
      </c>
      <c r="C16" s="41">
        <v>118286.31807227214</v>
      </c>
      <c r="D16" s="8" t="s">
        <v>3</v>
      </c>
      <c r="E16" s="1"/>
    </row>
    <row r="17" spans="1:5" x14ac:dyDescent="0.25">
      <c r="A17" s="1"/>
      <c r="B17" s="88" t="s">
        <v>10</v>
      </c>
      <c r="C17" s="41">
        <v>0</v>
      </c>
      <c r="D17" s="8" t="s">
        <v>3</v>
      </c>
      <c r="E17" s="1"/>
    </row>
    <row r="18" spans="1:5" x14ac:dyDescent="0.25">
      <c r="A18" s="1"/>
      <c r="B18" s="88" t="s">
        <v>23</v>
      </c>
      <c r="C18" s="41">
        <v>-136507.30715384951</v>
      </c>
      <c r="D18" s="8" t="s">
        <v>3</v>
      </c>
      <c r="E18" s="1"/>
    </row>
    <row r="19" spans="1:5" x14ac:dyDescent="0.25">
      <c r="A19" s="1"/>
      <c r="B19" s="88" t="s">
        <v>24</v>
      </c>
      <c r="C19" s="41">
        <v>-420696.03566715639</v>
      </c>
      <c r="D19" s="8" t="s">
        <v>3</v>
      </c>
      <c r="E19" s="47"/>
    </row>
    <row r="20" spans="1:5" x14ac:dyDescent="0.25">
      <c r="A20" s="1"/>
      <c r="B20" s="82" t="s">
        <v>21</v>
      </c>
      <c r="C20" s="10">
        <v>34785149.510230698</v>
      </c>
      <c r="D20" s="11" t="s">
        <v>3</v>
      </c>
      <c r="E20" s="1"/>
    </row>
    <row r="21" spans="1:5" x14ac:dyDescent="0.25">
      <c r="A21" s="1"/>
      <c r="B21" s="33" t="s">
        <v>12</v>
      </c>
      <c r="C21" s="28"/>
      <c r="D21" s="19"/>
      <c r="E21" s="1"/>
    </row>
    <row r="22" spans="1:5" x14ac:dyDescent="0.25">
      <c r="A22" s="1"/>
      <c r="B22" s="31" t="s">
        <v>12</v>
      </c>
      <c r="C22" s="10">
        <v>9938230.4177819379</v>
      </c>
      <c r="D22" s="11" t="s">
        <v>3</v>
      </c>
      <c r="E22" s="1"/>
    </row>
    <row r="23" spans="1:5" x14ac:dyDescent="0.25">
      <c r="A23" s="1"/>
      <c r="B23" s="33" t="s">
        <v>74</v>
      </c>
      <c r="C23" s="28"/>
      <c r="D23" s="19"/>
      <c r="E23" s="1"/>
    </row>
    <row r="24" spans="1:5" x14ac:dyDescent="0.25">
      <c r="A24" s="1"/>
      <c r="B24" s="82" t="s">
        <v>74</v>
      </c>
      <c r="C24" s="10">
        <v>1344095.3057504382</v>
      </c>
      <c r="D24" s="11" t="s">
        <v>3</v>
      </c>
      <c r="E24" s="1"/>
    </row>
    <row r="25" spans="1:5" x14ac:dyDescent="0.25">
      <c r="A25" s="1"/>
      <c r="B25" s="44" t="s">
        <v>73</v>
      </c>
      <c r="C25" s="42"/>
      <c r="D25" s="43"/>
      <c r="E25" s="1"/>
    </row>
    <row r="26" spans="1:5" x14ac:dyDescent="0.25">
      <c r="A26" s="1"/>
      <c r="B26" s="88" t="s">
        <v>158</v>
      </c>
      <c r="C26" s="69">
        <v>0</v>
      </c>
      <c r="D26" s="8" t="s">
        <v>3</v>
      </c>
      <c r="E26" s="1"/>
    </row>
    <row r="27" spans="1:5" x14ac:dyDescent="0.25">
      <c r="A27" s="1"/>
      <c r="B27" s="88" t="s">
        <v>70</v>
      </c>
      <c r="C27" s="69">
        <v>0</v>
      </c>
      <c r="D27" s="8" t="s">
        <v>3</v>
      </c>
      <c r="E27" s="1"/>
    </row>
    <row r="28" spans="1:5" x14ac:dyDescent="0.25">
      <c r="A28" s="1"/>
      <c r="B28" s="88" t="s">
        <v>161</v>
      </c>
      <c r="C28" s="69">
        <v>0</v>
      </c>
      <c r="D28" s="8" t="s">
        <v>3</v>
      </c>
      <c r="E28" s="1"/>
    </row>
    <row r="29" spans="1:5" x14ac:dyDescent="0.25">
      <c r="A29" s="1"/>
      <c r="B29" s="88"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-40195</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46027280.233763076</v>
      </c>
      <c r="D37" s="30" t="s">
        <v>3</v>
      </c>
      <c r="E37" s="1"/>
    </row>
    <row r="38" spans="1:5" ht="30" customHeight="1" x14ac:dyDescent="0.25">
      <c r="A38" s="1"/>
      <c r="B38" s="112" t="s">
        <v>268</v>
      </c>
      <c r="C38" s="112"/>
      <c r="D38" s="112"/>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kq4sL022ODNty2Spek4ak7F2OirSVeViHL1JE9FrGlVZQMuRk58KpPqnmWoIy0DfcCWAS9hk6Wt21IMBKgoaAw==" saltValue="Pij6VIq7Bw+2ki5wEyVIaw=="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3" t="s">
        <v>91</v>
      </c>
      <c r="C2" s="113"/>
      <c r="D2" s="113"/>
      <c r="E2" s="113"/>
      <c r="F2" s="113"/>
      <c r="G2" s="113"/>
      <c r="H2" s="113"/>
      <c r="I2" s="1"/>
    </row>
    <row r="3" spans="1:9" ht="28.5" customHeight="1" x14ac:dyDescent="0.25">
      <c r="A3" s="1"/>
      <c r="B3" s="113"/>
      <c r="C3" s="113"/>
      <c r="D3" s="113"/>
      <c r="E3" s="113"/>
      <c r="F3" s="113"/>
      <c r="G3" s="113"/>
      <c r="H3" s="113"/>
      <c r="I3" s="1"/>
    </row>
    <row r="4" spans="1:9" x14ac:dyDescent="0.25">
      <c r="A4" s="1"/>
      <c r="B4" s="117" t="s">
        <v>46</v>
      </c>
      <c r="C4" s="118"/>
      <c r="D4" s="118"/>
      <c r="E4" s="118"/>
      <c r="F4" s="118"/>
      <c r="G4" s="118"/>
      <c r="H4" s="119"/>
      <c r="I4" s="1"/>
    </row>
    <row r="5" spans="1:9" x14ac:dyDescent="0.25">
      <c r="A5" s="1"/>
      <c r="B5" s="120" t="s">
        <v>38</v>
      </c>
      <c r="C5" s="121"/>
      <c r="D5" s="121"/>
      <c r="E5" s="121"/>
      <c r="F5" s="122"/>
      <c r="G5" s="23">
        <v>7047539.7123830002</v>
      </c>
      <c r="H5" s="14" t="s">
        <v>3</v>
      </c>
      <c r="I5" s="1"/>
    </row>
    <row r="6" spans="1:9" x14ac:dyDescent="0.25">
      <c r="A6" s="1"/>
      <c r="B6" s="114" t="s">
        <v>102</v>
      </c>
      <c r="C6" s="115"/>
      <c r="D6" s="115"/>
      <c r="E6" s="115"/>
      <c r="F6" s="116"/>
      <c r="G6" s="66">
        <v>1197481</v>
      </c>
      <c r="H6" s="14" t="s">
        <v>3</v>
      </c>
      <c r="I6" s="1"/>
    </row>
    <row r="7" spans="1:9" x14ac:dyDescent="0.25">
      <c r="A7" s="1"/>
      <c r="B7" s="120" t="s">
        <v>39</v>
      </c>
      <c r="C7" s="121"/>
      <c r="D7" s="121"/>
      <c r="E7" s="121"/>
      <c r="F7" s="122"/>
      <c r="G7" s="23">
        <f>SUM(G5:G6)*'Fane 15. Nøgletal'!C33</f>
        <v>164900.41424766</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7" t="s">
        <v>47</v>
      </c>
      <c r="C10" s="118"/>
      <c r="D10" s="118"/>
      <c r="E10" s="118"/>
      <c r="F10" s="118"/>
      <c r="G10" s="118"/>
      <c r="H10" s="119"/>
      <c r="I10" s="1"/>
    </row>
    <row r="11" spans="1:9" x14ac:dyDescent="0.25">
      <c r="A11" s="1"/>
      <c r="B11" s="120" t="s">
        <v>40</v>
      </c>
      <c r="C11" s="121"/>
      <c r="D11" s="121"/>
      <c r="E11" s="121"/>
      <c r="F11" s="122"/>
      <c r="G11" s="23">
        <f>(G5-G7)*(1+'Fane 15. Nøgletal'!C10)</f>
        <v>7003085.485852709</v>
      </c>
      <c r="H11" s="14" t="s">
        <v>3</v>
      </c>
      <c r="I11" s="1"/>
    </row>
    <row r="12" spans="1:9" ht="15" customHeight="1" x14ac:dyDescent="0.25">
      <c r="A12" s="1"/>
      <c r="B12" s="120" t="s">
        <v>103</v>
      </c>
      <c r="C12" s="121"/>
      <c r="D12" s="121"/>
      <c r="E12" s="121"/>
      <c r="F12" s="122"/>
      <c r="G12" s="66">
        <v>-9886.4222096944395</v>
      </c>
      <c r="H12" s="14" t="s">
        <v>3</v>
      </c>
      <c r="I12" s="1"/>
    </row>
    <row r="13" spans="1:9" x14ac:dyDescent="0.25">
      <c r="A13" s="1"/>
      <c r="B13" s="114" t="s">
        <v>100</v>
      </c>
      <c r="C13" s="115"/>
      <c r="D13" s="115"/>
      <c r="E13" s="115"/>
      <c r="F13" s="116"/>
      <c r="G13" s="66">
        <v>1218436.9175</v>
      </c>
      <c r="H13" s="14" t="s">
        <v>3</v>
      </c>
      <c r="I13" s="1"/>
    </row>
    <row r="14" spans="1:9" x14ac:dyDescent="0.25">
      <c r="A14" s="1"/>
      <c r="B14" s="123" t="s">
        <v>244</v>
      </c>
      <c r="C14" s="124"/>
      <c r="D14" s="124"/>
      <c r="E14" s="124"/>
      <c r="F14" s="125"/>
      <c r="G14" s="66">
        <v>0</v>
      </c>
      <c r="H14" s="14" t="s">
        <v>3</v>
      </c>
      <c r="I14" s="1"/>
    </row>
    <row r="15" spans="1:9" x14ac:dyDescent="0.25">
      <c r="A15" s="1"/>
      <c r="B15" s="120" t="s">
        <v>41</v>
      </c>
      <c r="C15" s="121"/>
      <c r="D15" s="121"/>
      <c r="E15" s="121"/>
      <c r="F15" s="122"/>
      <c r="G15" s="23">
        <f>SUM(G11:G14)*'Fane 15. Nøgletal'!C33</f>
        <v>164232.71962286028</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7" t="s">
        <v>48</v>
      </c>
      <c r="C18" s="118"/>
      <c r="D18" s="118"/>
      <c r="E18" s="118"/>
      <c r="F18" s="118"/>
      <c r="G18" s="118"/>
      <c r="H18" s="119"/>
      <c r="I18" s="1"/>
    </row>
    <row r="19" spans="1:9" x14ac:dyDescent="0.25">
      <c r="A19" s="1"/>
      <c r="B19" s="120" t="s">
        <v>42</v>
      </c>
      <c r="C19" s="121"/>
      <c r="D19" s="121"/>
      <c r="E19" s="121"/>
      <c r="F19" s="122"/>
      <c r="G19" s="23">
        <f>(SUM(G11:G12,G14)-(G15))*(1+'Fane 15. Nøgletal'!C10)</f>
        <v>6948473.2550405078</v>
      </c>
      <c r="H19" s="14" t="s">
        <v>3</v>
      </c>
      <c r="I19" s="1"/>
    </row>
    <row r="20" spans="1:9" x14ac:dyDescent="0.25">
      <c r="A20" s="1"/>
      <c r="B20" s="123" t="s">
        <v>245</v>
      </c>
      <c r="C20" s="124"/>
      <c r="D20" s="124"/>
      <c r="E20" s="124"/>
      <c r="F20" s="125"/>
      <c r="G20" s="66">
        <v>0</v>
      </c>
      <c r="H20" s="14" t="s">
        <v>3</v>
      </c>
      <c r="I20" s="1"/>
    </row>
    <row r="21" spans="1:9" x14ac:dyDescent="0.25">
      <c r="A21" s="1"/>
      <c r="B21" s="120" t="s">
        <v>43</v>
      </c>
      <c r="C21" s="121"/>
      <c r="D21" s="121"/>
      <c r="E21" s="121"/>
      <c r="F21" s="122"/>
      <c r="G21" s="23">
        <f>SUM(G19:G20)*'Fane 15. Nøgletal'!C33</f>
        <v>138969.46510081016</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7" t="s">
        <v>49</v>
      </c>
      <c r="C24" s="118"/>
      <c r="D24" s="118"/>
      <c r="E24" s="118"/>
      <c r="F24" s="118"/>
      <c r="G24" s="118"/>
      <c r="H24" s="119"/>
      <c r="I24" s="1"/>
    </row>
    <row r="25" spans="1:9" x14ac:dyDescent="0.25">
      <c r="A25" s="1"/>
      <c r="B25" s="120" t="s">
        <v>44</v>
      </c>
      <c r="C25" s="121"/>
      <c r="D25" s="121"/>
      <c r="E25" s="121"/>
      <c r="F25" s="122"/>
      <c r="G25" s="23">
        <f>(G19+G20-G21)*(1+'Fane 15. Nøgletal'!C12)</f>
        <v>6943651.01460151</v>
      </c>
      <c r="H25" s="14" t="s">
        <v>3</v>
      </c>
      <c r="I25" s="1"/>
    </row>
    <row r="26" spans="1:9" x14ac:dyDescent="0.25">
      <c r="A26" s="1"/>
      <c r="B26" s="123" t="s">
        <v>246</v>
      </c>
      <c r="C26" s="124"/>
      <c r="D26" s="124"/>
      <c r="E26" s="124"/>
      <c r="F26" s="125"/>
      <c r="G26" s="66">
        <v>80165.582162820006</v>
      </c>
      <c r="H26" s="14" t="s">
        <v>3</v>
      </c>
      <c r="I26" s="1"/>
    </row>
    <row r="27" spans="1:9" x14ac:dyDescent="0.25">
      <c r="A27" s="1"/>
      <c r="B27" s="120" t="s">
        <v>45</v>
      </c>
      <c r="C27" s="121"/>
      <c r="D27" s="121"/>
      <c r="E27" s="121"/>
      <c r="F27" s="122"/>
      <c r="G27" s="23">
        <f>(G25+G26)*'Fane 15. Nøgletal'!C33</f>
        <v>140476.33193528661</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7" t="s">
        <v>52</v>
      </c>
      <c r="C30" s="118"/>
      <c r="D30" s="118"/>
      <c r="E30" s="118"/>
      <c r="F30" s="118"/>
      <c r="G30" s="118"/>
      <c r="H30" s="119"/>
      <c r="I30" s="1"/>
    </row>
    <row r="31" spans="1:9" x14ac:dyDescent="0.25">
      <c r="A31" s="1"/>
      <c r="B31" s="120" t="s">
        <v>53</v>
      </c>
      <c r="C31" s="121"/>
      <c r="D31" s="121"/>
      <c r="E31" s="121"/>
      <c r="F31" s="122"/>
      <c r="G31" s="23">
        <f>(G25+G26-G27)*(1+'Fane 15. Nøgletal'!C12)</f>
        <v>7018942.0680461759</v>
      </c>
      <c r="H31" s="14" t="s">
        <v>3</v>
      </c>
      <c r="I31" s="1"/>
    </row>
    <row r="32" spans="1:9" x14ac:dyDescent="0.25">
      <c r="A32" s="1"/>
      <c r="B32" s="120" t="s">
        <v>243</v>
      </c>
      <c r="C32" s="121"/>
      <c r="D32" s="121"/>
      <c r="E32" s="121"/>
      <c r="F32" s="122"/>
      <c r="G32" s="63">
        <v>41178.666977280001</v>
      </c>
      <c r="H32" s="14" t="s">
        <v>3</v>
      </c>
      <c r="I32" s="1"/>
    </row>
    <row r="33" spans="1:9" x14ac:dyDescent="0.25">
      <c r="A33" s="1"/>
      <c r="B33" s="120" t="s">
        <v>54</v>
      </c>
      <c r="C33" s="121"/>
      <c r="D33" s="121"/>
      <c r="E33" s="121"/>
      <c r="F33" s="122"/>
      <c r="G33" s="23">
        <f>(G31+G32)*'Fane 15. Nøgletal'!C33</f>
        <v>141202.41470046912</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7" t="s">
        <v>126</v>
      </c>
      <c r="C36" s="118"/>
      <c r="D36" s="118"/>
      <c r="E36" s="118"/>
      <c r="F36" s="118"/>
      <c r="G36" s="118"/>
      <c r="H36" s="119"/>
      <c r="I36" s="1"/>
    </row>
    <row r="37" spans="1:9" x14ac:dyDescent="0.25">
      <c r="A37" s="1"/>
      <c r="B37" s="120" t="s">
        <v>68</v>
      </c>
      <c r="C37" s="121"/>
      <c r="D37" s="121"/>
      <c r="E37" s="121"/>
      <c r="F37" s="122"/>
      <c r="G37" s="23">
        <f>(G31+G32-G33)*(1+'Fane 15. Nøgletal'!C14)</f>
        <v>6941750.7507800534</v>
      </c>
      <c r="H37" s="14" t="s">
        <v>3</v>
      </c>
      <c r="I37" s="1"/>
    </row>
    <row r="38" spans="1:9" x14ac:dyDescent="0.25">
      <c r="A38" s="1"/>
      <c r="B38" s="120" t="s">
        <v>242</v>
      </c>
      <c r="C38" s="121"/>
      <c r="D38" s="121"/>
      <c r="E38" s="121"/>
      <c r="F38" s="122"/>
      <c r="G38" s="63">
        <v>0</v>
      </c>
      <c r="H38" s="14" t="s">
        <v>3</v>
      </c>
      <c r="I38" s="1"/>
    </row>
    <row r="39" spans="1:9" x14ac:dyDescent="0.25">
      <c r="A39" s="1"/>
      <c r="B39" s="120" t="s">
        <v>128</v>
      </c>
      <c r="C39" s="121"/>
      <c r="D39" s="121"/>
      <c r="E39" s="121"/>
      <c r="F39" s="122"/>
      <c r="G39" s="23">
        <f>(G37+G38)*'Fane 15. Nøgletal'!C33</f>
        <v>138835.01501560106</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7" t="s">
        <v>127</v>
      </c>
      <c r="C42" s="118"/>
      <c r="D42" s="118"/>
      <c r="E42" s="118"/>
      <c r="F42" s="118"/>
      <c r="G42" s="118"/>
      <c r="H42" s="119"/>
      <c r="I42" s="1"/>
    </row>
    <row r="43" spans="1:9" x14ac:dyDescent="0.25">
      <c r="A43" s="1"/>
      <c r="B43" s="120" t="s">
        <v>155</v>
      </c>
      <c r="C43" s="121"/>
      <c r="D43" s="121"/>
      <c r="E43" s="121"/>
      <c r="F43" s="122"/>
      <c r="G43" s="23">
        <f>(G37+G38-G39)*(1+'Fane 15. Nøgletal'!C14)</f>
        <v>6825365.3576924754</v>
      </c>
      <c r="H43" s="14" t="s">
        <v>3</v>
      </c>
      <c r="I43" s="1"/>
    </row>
    <row r="44" spans="1:9" x14ac:dyDescent="0.25">
      <c r="A44" s="1"/>
      <c r="B44" s="126" t="s">
        <v>157</v>
      </c>
      <c r="C44" s="127"/>
      <c r="D44" s="127"/>
      <c r="E44" s="127"/>
      <c r="F44" s="128"/>
      <c r="G44" s="63">
        <v>0</v>
      </c>
      <c r="H44" s="14" t="s">
        <v>3</v>
      </c>
      <c r="I44" s="1"/>
    </row>
    <row r="45" spans="1:9" x14ac:dyDescent="0.25">
      <c r="A45" s="1"/>
      <c r="B45" s="120" t="s">
        <v>129</v>
      </c>
      <c r="C45" s="121"/>
      <c r="D45" s="121"/>
      <c r="E45" s="121"/>
      <c r="F45" s="122"/>
      <c r="G45" s="23">
        <f>SUM(G43:G44)*'Fane 15. Nøgletal'!C33</f>
        <v>136507.30715384951</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7" t="s">
        <v>192</v>
      </c>
      <c r="C51" s="118"/>
      <c r="D51" s="118"/>
      <c r="E51" s="118"/>
      <c r="F51" s="118"/>
      <c r="G51" s="118"/>
      <c r="H51" s="119"/>
      <c r="I51" s="1"/>
    </row>
    <row r="52" spans="1:9" x14ac:dyDescent="0.25">
      <c r="A52" s="1"/>
      <c r="B52" s="120" t="s">
        <v>154</v>
      </c>
      <c r="C52" s="121"/>
      <c r="D52" s="121"/>
      <c r="E52" s="121"/>
      <c r="F52" s="122"/>
      <c r="G52" s="23">
        <f>(G43+G44-G45)*(1+'Fane 15. Nøgletal'!C16)</f>
        <v>7229317.7810221463</v>
      </c>
      <c r="H52" s="14" t="s">
        <v>3</v>
      </c>
      <c r="I52" s="1"/>
    </row>
    <row r="53" spans="1:9" x14ac:dyDescent="0.25">
      <c r="A53" s="1"/>
      <c r="B53" s="78" t="s">
        <v>194</v>
      </c>
      <c r="C53" s="79"/>
      <c r="D53" s="79"/>
      <c r="E53" s="79"/>
      <c r="F53" s="80"/>
      <c r="G53" s="23">
        <f>('Fane 2.1. Økonomisk ramme 2024'!C10+'Fane 2.1. Økonomisk ramme 2024'!C12+'Fane 2.1. Økonomisk ramme 2024'!C14)*(1+'Fane 15. Nøgletal'!C16)</f>
        <v>1954337.6211519998</v>
      </c>
      <c r="H53" s="14" t="s">
        <v>3</v>
      </c>
      <c r="I53" s="1"/>
    </row>
    <row r="54" spans="1:9" x14ac:dyDescent="0.25">
      <c r="A54" s="1"/>
      <c r="B54" s="120" t="s">
        <v>210</v>
      </c>
      <c r="C54" s="121"/>
      <c r="D54" s="121"/>
      <c r="E54" s="121"/>
      <c r="F54" s="122"/>
      <c r="G54" s="23">
        <f>(G52)*'Fane 15. Nøgletal'!C33+(G53)*'Fane 15. Nøgletal'!C33</f>
        <v>183673.10804348291</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7" t="s">
        <v>193</v>
      </c>
      <c r="C57" s="118"/>
      <c r="D57" s="118"/>
      <c r="E57" s="118"/>
      <c r="F57" s="118"/>
      <c r="G57" s="118"/>
      <c r="H57" s="119"/>
      <c r="I57" s="1"/>
    </row>
    <row r="58" spans="1:9" x14ac:dyDescent="0.25">
      <c r="A58" s="1"/>
      <c r="B58" s="78" t="s">
        <v>212</v>
      </c>
      <c r="C58" s="79"/>
      <c r="D58" s="79"/>
      <c r="E58" s="79"/>
      <c r="F58" s="80"/>
      <c r="G58" s="23">
        <f>(G52+G53-G54)*(1+'Fane 15. Nøgletal'!C16)</f>
        <v>9727180.8634964228</v>
      </c>
      <c r="H58" s="14" t="s">
        <v>3</v>
      </c>
      <c r="I58" s="1"/>
    </row>
    <row r="59" spans="1:9" x14ac:dyDescent="0.25">
      <c r="A59" s="1"/>
      <c r="B59" s="78" t="s">
        <v>211</v>
      </c>
      <c r="C59" s="79"/>
      <c r="D59" s="79"/>
      <c r="E59" s="79"/>
      <c r="F59" s="80"/>
      <c r="G59" s="23">
        <f>(G58)*'Fane 15. Nøgletal'!C33</f>
        <v>194543.61726992845</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7" t="s">
        <v>256</v>
      </c>
      <c r="C62" s="118"/>
      <c r="D62" s="118"/>
      <c r="E62" s="118"/>
      <c r="F62" s="118"/>
      <c r="G62" s="118"/>
      <c r="H62" s="119"/>
      <c r="I62" s="1"/>
    </row>
    <row r="63" spans="1:9" x14ac:dyDescent="0.25">
      <c r="A63" s="1"/>
      <c r="B63" s="78" t="s">
        <v>213</v>
      </c>
      <c r="C63" s="79"/>
      <c r="D63" s="79"/>
      <c r="E63" s="79"/>
      <c r="F63" s="80"/>
      <c r="G63" s="23">
        <f>(G58-G59)*(1+'Fane 15. Nøgletal'!C16)</f>
        <v>10302874.335721595</v>
      </c>
      <c r="H63" s="14" t="s">
        <v>3</v>
      </c>
      <c r="I63" s="1"/>
    </row>
    <row r="64" spans="1:9" x14ac:dyDescent="0.25">
      <c r="A64" s="1"/>
      <c r="B64" s="78" t="s">
        <v>214</v>
      </c>
      <c r="C64" s="79"/>
      <c r="D64" s="79"/>
      <c r="E64" s="79"/>
      <c r="F64" s="80"/>
      <c r="G64" s="23">
        <f>(G63)*'Fane 15. Nøgletal'!C33</f>
        <v>206057.4867144319</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7" t="s">
        <v>257</v>
      </c>
      <c r="C67" s="118"/>
      <c r="D67" s="118"/>
      <c r="E67" s="118"/>
      <c r="F67" s="118"/>
      <c r="G67" s="118"/>
      <c r="H67" s="119"/>
      <c r="I67" s="1"/>
    </row>
    <row r="68" spans="1:9" x14ac:dyDescent="0.25">
      <c r="A68" s="1"/>
      <c r="B68" s="78" t="s">
        <v>213</v>
      </c>
      <c r="C68" s="79"/>
      <c r="D68" s="79"/>
      <c r="E68" s="79"/>
      <c r="F68" s="80"/>
      <c r="G68" s="23">
        <f>(G63-G64)*(1+'Fane 15. Nøgletal'!C16)</f>
        <v>10912639.650406942</v>
      </c>
      <c r="H68" s="14" t="s">
        <v>3</v>
      </c>
      <c r="I68" s="1"/>
    </row>
    <row r="69" spans="1:9" x14ac:dyDescent="0.25">
      <c r="A69" s="1"/>
      <c r="B69" s="78" t="s">
        <v>214</v>
      </c>
      <c r="C69" s="79"/>
      <c r="D69" s="79"/>
      <c r="E69" s="79"/>
      <c r="F69" s="80"/>
      <c r="G69" s="23">
        <f>(G68)*'Fane 15. Nøgletal'!C33</f>
        <v>218252.79300813883</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4us54JHZmWH48fgWiQEZ2iQTfl33Pixqhe/pyXWS3YFy6RqZ8VXYVMA/FAB6JJNuAI+VOPzqSqb+W6zfXnEsOw==" saltValue="YKuljdoApRz1op0xWVzxpA=="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9" t="s">
        <v>92</v>
      </c>
      <c r="C1" s="129"/>
      <c r="D1" s="129"/>
      <c r="E1" s="129"/>
      <c r="F1" s="129"/>
      <c r="G1" s="129"/>
      <c r="H1" s="129"/>
      <c r="I1" s="1"/>
    </row>
    <row r="2" spans="1:9" ht="15" customHeight="1" x14ac:dyDescent="0.25">
      <c r="A2" s="1"/>
      <c r="B2" s="129"/>
      <c r="C2" s="129"/>
      <c r="D2" s="129"/>
      <c r="E2" s="129"/>
      <c r="F2" s="129"/>
      <c r="G2" s="129"/>
      <c r="H2" s="129"/>
      <c r="I2" s="1"/>
    </row>
    <row r="3" spans="1:9" ht="15" customHeight="1" x14ac:dyDescent="0.25">
      <c r="A3" s="1"/>
      <c r="B3" s="130"/>
      <c r="C3" s="130"/>
      <c r="D3" s="130"/>
      <c r="E3" s="130"/>
      <c r="F3" s="130"/>
      <c r="G3" s="130"/>
      <c r="H3" s="130"/>
      <c r="I3" s="1"/>
    </row>
    <row r="4" spans="1:9" x14ac:dyDescent="0.25">
      <c r="A4" s="1"/>
      <c r="B4" s="117" t="s">
        <v>50</v>
      </c>
      <c r="C4" s="118"/>
      <c r="D4" s="118"/>
      <c r="E4" s="118"/>
      <c r="F4" s="118"/>
      <c r="G4" s="118"/>
      <c r="H4" s="119"/>
      <c r="I4" s="1"/>
    </row>
    <row r="5" spans="1:9" x14ac:dyDescent="0.25">
      <c r="A5" s="1"/>
      <c r="B5" s="120" t="s">
        <v>55</v>
      </c>
      <c r="C5" s="121"/>
      <c r="D5" s="121"/>
      <c r="E5" s="121"/>
      <c r="F5" s="122"/>
      <c r="G5" s="63">
        <v>27997707.58392426</v>
      </c>
      <c r="H5" s="14" t="s">
        <v>3</v>
      </c>
      <c r="I5" s="1"/>
    </row>
    <row r="6" spans="1:9" x14ac:dyDescent="0.25">
      <c r="A6" s="1"/>
      <c r="B6" s="120" t="s">
        <v>51</v>
      </c>
      <c r="C6" s="121"/>
      <c r="D6" s="121"/>
      <c r="E6" s="121"/>
      <c r="F6" s="122"/>
      <c r="G6" s="23">
        <f>G5*'Fane 15. Nøgletal'!C21</f>
        <v>254779.13901371078</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7" t="s">
        <v>56</v>
      </c>
      <c r="C9" s="118"/>
      <c r="D9" s="118"/>
      <c r="E9" s="118"/>
      <c r="F9" s="118"/>
      <c r="G9" s="118"/>
      <c r="H9" s="119"/>
      <c r="I9" s="1"/>
    </row>
    <row r="10" spans="1:9" x14ac:dyDescent="0.25">
      <c r="A10" s="1"/>
      <c r="B10" s="120" t="s">
        <v>57</v>
      </c>
      <c r="C10" s="121"/>
      <c r="D10" s="121"/>
      <c r="E10" s="121"/>
      <c r="F10" s="122"/>
      <c r="G10" s="23">
        <f>(G5-G6)*(1+'Fane 15. Nøgletal'!C10)</f>
        <v>28228429.692696486</v>
      </c>
      <c r="H10" s="14" t="s">
        <v>3</v>
      </c>
      <c r="I10" s="1"/>
    </row>
    <row r="11" spans="1:9" x14ac:dyDescent="0.25">
      <c r="A11" s="1"/>
      <c r="B11" s="120" t="s">
        <v>104</v>
      </c>
      <c r="C11" s="121"/>
      <c r="D11" s="121"/>
      <c r="E11" s="121"/>
      <c r="F11" s="122"/>
      <c r="G11" s="63">
        <v>482388.48394439131</v>
      </c>
      <c r="H11" s="14" t="s">
        <v>3</v>
      </c>
      <c r="I11" s="1"/>
    </row>
    <row r="12" spans="1:9" x14ac:dyDescent="0.25">
      <c r="A12" s="1"/>
      <c r="B12" s="123" t="s">
        <v>247</v>
      </c>
      <c r="C12" s="124"/>
      <c r="D12" s="124"/>
      <c r="E12" s="124"/>
      <c r="F12" s="125"/>
      <c r="G12" s="66">
        <v>0</v>
      </c>
      <c r="H12" s="14" t="s">
        <v>3</v>
      </c>
      <c r="I12" s="1"/>
    </row>
    <row r="13" spans="1:9" x14ac:dyDescent="0.25">
      <c r="A13" s="1"/>
      <c r="B13" s="120" t="s">
        <v>58</v>
      </c>
      <c r="C13" s="121"/>
      <c r="D13" s="121"/>
      <c r="E13" s="121"/>
      <c r="F13" s="122"/>
      <c r="G13" s="23">
        <f>SUM(G10:G12)*'Fane 15. Nøgletal'!C22</f>
        <v>508181.48172654351</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7" t="s">
        <v>59</v>
      </c>
      <c r="C16" s="118"/>
      <c r="D16" s="118"/>
      <c r="E16" s="118"/>
      <c r="F16" s="118"/>
      <c r="G16" s="118"/>
      <c r="H16" s="119"/>
      <c r="I16" s="1"/>
    </row>
    <row r="17" spans="1:9" x14ac:dyDescent="0.25">
      <c r="A17" s="1"/>
      <c r="B17" s="120" t="s">
        <v>60</v>
      </c>
      <c r="C17" s="121"/>
      <c r="D17" s="121"/>
      <c r="E17" s="121"/>
      <c r="F17" s="122"/>
      <c r="G17" s="23">
        <f>(SUM(G10:G12)-G13)*(1+'Fane 15. Nøgletal'!C10)</f>
        <v>28696182.837075338</v>
      </c>
      <c r="H17" s="14" t="s">
        <v>3</v>
      </c>
      <c r="I17" s="1"/>
    </row>
    <row r="18" spans="1:9" x14ac:dyDescent="0.25">
      <c r="A18" s="1"/>
      <c r="B18" s="123" t="s">
        <v>248</v>
      </c>
      <c r="C18" s="124"/>
      <c r="D18" s="124"/>
      <c r="E18" s="124"/>
      <c r="F18" s="125"/>
      <c r="G18" s="63">
        <v>547814.09049676987</v>
      </c>
      <c r="H18" s="14" t="s">
        <v>3</v>
      </c>
      <c r="I18" s="1"/>
    </row>
    <row r="19" spans="1:9" x14ac:dyDescent="0.25">
      <c r="A19" s="1"/>
      <c r="B19" s="120" t="s">
        <v>61</v>
      </c>
      <c r="C19" s="121"/>
      <c r="D19" s="121"/>
      <c r="E19" s="121"/>
      <c r="F19" s="122"/>
      <c r="G19" s="23">
        <f>G17*'Fane 15. Nøgletal'!C22+G18*'Fane 15. Nøgletal'!C23</f>
        <v>512688.41880355537</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7" t="s">
        <v>62</v>
      </c>
      <c r="C22" s="118"/>
      <c r="D22" s="118"/>
      <c r="E22" s="118"/>
      <c r="F22" s="118"/>
      <c r="G22" s="118"/>
      <c r="H22" s="119"/>
      <c r="I22" s="1"/>
    </row>
    <row r="23" spans="1:9" x14ac:dyDescent="0.25">
      <c r="A23" s="1"/>
      <c r="B23" s="120" t="s">
        <v>63</v>
      </c>
      <c r="C23" s="121"/>
      <c r="D23" s="121"/>
      <c r="E23" s="121"/>
      <c r="F23" s="122"/>
      <c r="G23" s="23">
        <f>(G17+G18-G19)*(1+'Fane 15. Nøgletal'!C12)</f>
        <v>29297315.286391295</v>
      </c>
      <c r="H23" s="14" t="s">
        <v>3</v>
      </c>
      <c r="I23" s="1"/>
    </row>
    <row r="24" spans="1:9" x14ac:dyDescent="0.25">
      <c r="A24" s="1"/>
      <c r="B24" s="123" t="s">
        <v>249</v>
      </c>
      <c r="C24" s="124"/>
      <c r="D24" s="124"/>
      <c r="E24" s="124"/>
      <c r="F24" s="125"/>
      <c r="G24" s="63">
        <v>354573.51991178049</v>
      </c>
      <c r="H24" s="14" t="s">
        <v>3</v>
      </c>
      <c r="I24" s="1"/>
    </row>
    <row r="25" spans="1:9" x14ac:dyDescent="0.25">
      <c r="A25" s="1"/>
      <c r="B25" s="120" t="s">
        <v>64</v>
      </c>
      <c r="C25" s="121"/>
      <c r="D25" s="121"/>
      <c r="E25" s="121"/>
      <c r="F25" s="122"/>
      <c r="G25" s="23">
        <f>(G23+G24)*'Fane 15. Nøgletal'!C24</f>
        <v>842113.64209900738</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7" t="s">
        <v>65</v>
      </c>
      <c r="C28" s="118"/>
      <c r="D28" s="118"/>
      <c r="E28" s="118"/>
      <c r="F28" s="118"/>
      <c r="G28" s="118"/>
      <c r="H28" s="119"/>
      <c r="I28" s="1"/>
    </row>
    <row r="29" spans="1:9" x14ac:dyDescent="0.25">
      <c r="A29" s="1"/>
      <c r="B29" s="120" t="s">
        <v>66</v>
      </c>
      <c r="C29" s="121"/>
      <c r="D29" s="121"/>
      <c r="E29" s="121"/>
      <c r="F29" s="122"/>
      <c r="G29" s="23">
        <f>(G23+G24-G25)*(1+'Fane 15. Nøgletal'!C12)</f>
        <v>29377327.73493889</v>
      </c>
      <c r="H29" s="14" t="s">
        <v>3</v>
      </c>
      <c r="I29" s="1"/>
    </row>
    <row r="30" spans="1:9" x14ac:dyDescent="0.25">
      <c r="A30" s="1"/>
      <c r="B30" s="120" t="s">
        <v>250</v>
      </c>
      <c r="C30" s="121"/>
      <c r="D30" s="121"/>
      <c r="E30" s="121"/>
      <c r="F30" s="122"/>
      <c r="G30" s="63">
        <v>123315.72293124</v>
      </c>
      <c r="H30" s="14" t="s">
        <v>3</v>
      </c>
      <c r="I30" s="1"/>
    </row>
    <row r="31" spans="1:9" x14ac:dyDescent="0.25">
      <c r="A31" s="1"/>
      <c r="B31" s="120" t="s">
        <v>67</v>
      </c>
      <c r="C31" s="121"/>
      <c r="D31" s="121"/>
      <c r="E31" s="121"/>
      <c r="F31" s="122"/>
      <c r="G31" s="23">
        <f>G29*'Fane 15. Nøgletal'!C24+G30*'Fane 15. Nøgletal'!C25</f>
        <v>837707.29005287366</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7" t="s">
        <v>130</v>
      </c>
      <c r="C34" s="118"/>
      <c r="D34" s="118"/>
      <c r="E34" s="118"/>
      <c r="F34" s="118"/>
      <c r="G34" s="118"/>
      <c r="H34" s="119"/>
      <c r="I34" s="1"/>
    </row>
    <row r="35" spans="1:9" x14ac:dyDescent="0.25">
      <c r="A35" s="1"/>
      <c r="B35" s="120" t="s">
        <v>215</v>
      </c>
      <c r="C35" s="121"/>
      <c r="D35" s="121"/>
      <c r="E35" s="121"/>
      <c r="F35" s="122"/>
      <c r="G35" s="23">
        <f>(G29+G30-G31)*(1+'Fane 15. Nøgletal'!C14)</f>
        <v>28757523.857171055</v>
      </c>
      <c r="H35" s="14" t="s">
        <v>3</v>
      </c>
      <c r="I35" s="1"/>
    </row>
    <row r="36" spans="1:9" x14ac:dyDescent="0.25">
      <c r="A36" s="1"/>
      <c r="B36" s="120" t="s">
        <v>251</v>
      </c>
      <c r="C36" s="121"/>
      <c r="D36" s="121"/>
      <c r="E36" s="121"/>
      <c r="F36" s="122"/>
      <c r="G36" s="63">
        <v>0</v>
      </c>
      <c r="H36" s="14" t="s">
        <v>3</v>
      </c>
      <c r="I36" s="1"/>
    </row>
    <row r="37" spans="1:9" x14ac:dyDescent="0.25">
      <c r="A37" s="1"/>
      <c r="B37" s="120" t="s">
        <v>131</v>
      </c>
      <c r="C37" s="121"/>
      <c r="D37" s="121"/>
      <c r="E37" s="121"/>
      <c r="F37" s="122"/>
      <c r="G37" s="23">
        <f>(G35+G36)*'Fane 15. Nøgletal'!C26</f>
        <v>425611.35308613162</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7" t="s">
        <v>151</v>
      </c>
      <c r="C40" s="118"/>
      <c r="D40" s="118"/>
      <c r="E40" s="118"/>
      <c r="F40" s="118"/>
      <c r="G40" s="118"/>
      <c r="H40" s="119"/>
      <c r="I40" s="1"/>
    </row>
    <row r="41" spans="1:9" x14ac:dyDescent="0.25">
      <c r="A41" s="1"/>
      <c r="B41" s="120" t="s">
        <v>216</v>
      </c>
      <c r="C41" s="121"/>
      <c r="D41" s="121"/>
      <c r="E41" s="121"/>
      <c r="F41" s="122"/>
      <c r="G41" s="23">
        <f>(G35+G36-G37)*(1+'Fane 15. Nøgletal'!C14)</f>
        <v>28425407.815348405</v>
      </c>
      <c r="H41" s="14" t="s">
        <v>3</v>
      </c>
      <c r="I41" s="1"/>
    </row>
    <row r="42" spans="1:9" x14ac:dyDescent="0.25">
      <c r="A42" s="1"/>
      <c r="B42" s="40" t="s">
        <v>156</v>
      </c>
      <c r="C42" s="79"/>
      <c r="D42" s="79"/>
      <c r="E42" s="79"/>
      <c r="F42" s="80"/>
      <c r="G42" s="23">
        <v>65627.495160480001</v>
      </c>
      <c r="H42" s="14" t="s">
        <v>3</v>
      </c>
      <c r="I42" s="1"/>
    </row>
    <row r="43" spans="1:9" x14ac:dyDescent="0.25">
      <c r="A43" s="1"/>
      <c r="B43" s="120" t="s">
        <v>132</v>
      </c>
      <c r="C43" s="121"/>
      <c r="D43" s="121"/>
      <c r="E43" s="121"/>
      <c r="F43" s="122"/>
      <c r="G43" s="23">
        <f>(G41)*'Fane 15. Nøgletal'!C26+G42*'Fane 15. Nøgletal'!C27</f>
        <v>420696.03566715639</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7" t="s">
        <v>259</v>
      </c>
      <c r="C52" s="118"/>
      <c r="D52" s="118"/>
      <c r="E52" s="118"/>
      <c r="F52" s="118"/>
      <c r="G52" s="118"/>
      <c r="H52" s="119"/>
      <c r="I52" s="1"/>
    </row>
    <row r="53" spans="1:9" x14ac:dyDescent="0.25">
      <c r="A53" s="1"/>
      <c r="B53" s="120" t="s">
        <v>217</v>
      </c>
      <c r="C53" s="121"/>
      <c r="D53" s="121"/>
      <c r="E53" s="121"/>
      <c r="F53" s="122"/>
      <c r="G53" s="23">
        <f>(G41+G42-G43)*(1+'Fane 15. Nøgletal'!C16)</f>
        <v>30338422.68824894</v>
      </c>
      <c r="H53" s="14" t="s">
        <v>3</v>
      </c>
      <c r="I53" s="1"/>
    </row>
    <row r="54" spans="1:9" x14ac:dyDescent="0.25">
      <c r="A54" s="1"/>
      <c r="B54" s="78" t="s">
        <v>195</v>
      </c>
      <c r="C54" s="79"/>
      <c r="D54" s="79"/>
      <c r="E54" s="79"/>
      <c r="F54" s="80"/>
      <c r="G54" s="63">
        <f>('Fane 2.1. Økonomisk ramme 2024'!C11+'Fane 2.1. Økonomisk ramme 2024'!C13+'Fane 2.1. Økonomisk ramme 2024'!C15)*(1+'Fane 15. Nøgletal'!C16)</f>
        <v>0</v>
      </c>
      <c r="H54" s="14" t="s">
        <v>3</v>
      </c>
      <c r="I54" s="1"/>
    </row>
    <row r="55" spans="1:9" x14ac:dyDescent="0.25">
      <c r="A55" s="1"/>
      <c r="B55" s="120" t="s">
        <v>218</v>
      </c>
      <c r="C55" s="121"/>
      <c r="D55" s="121"/>
      <c r="E55" s="121"/>
      <c r="F55" s="122"/>
      <c r="G55" s="63">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7" t="s">
        <v>258</v>
      </c>
      <c r="C58" s="118"/>
      <c r="D58" s="118"/>
      <c r="E58" s="118"/>
      <c r="F58" s="118"/>
      <c r="G58" s="118"/>
      <c r="H58" s="119"/>
      <c r="I58" s="1"/>
    </row>
    <row r="59" spans="1:9" x14ac:dyDescent="0.25">
      <c r="A59" s="1"/>
      <c r="B59" s="120" t="s">
        <v>219</v>
      </c>
      <c r="C59" s="121"/>
      <c r="D59" s="121"/>
      <c r="E59" s="121"/>
      <c r="F59" s="122"/>
      <c r="G59" s="23">
        <f>(G53+G54-G55)*(1+'Fane 15. Nøgletal'!C16)</f>
        <v>32789767.241459455</v>
      </c>
      <c r="H59" s="14" t="s">
        <v>3</v>
      </c>
      <c r="I59" s="1"/>
    </row>
    <row r="60" spans="1:9" x14ac:dyDescent="0.25">
      <c r="A60" s="1"/>
      <c r="B60" s="120" t="s">
        <v>220</v>
      </c>
      <c r="C60" s="121"/>
      <c r="D60" s="121"/>
      <c r="E60" s="121"/>
      <c r="F60" s="122"/>
      <c r="G60" s="63">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7" t="s">
        <v>141</v>
      </c>
      <c r="C63" s="118"/>
      <c r="D63" s="118"/>
      <c r="E63" s="118"/>
      <c r="F63" s="118"/>
      <c r="G63" s="118"/>
      <c r="H63" s="119"/>
      <c r="I63" s="1"/>
    </row>
    <row r="64" spans="1:9" x14ac:dyDescent="0.25">
      <c r="A64" s="1"/>
      <c r="B64" s="120" t="s">
        <v>221</v>
      </c>
      <c r="C64" s="121"/>
      <c r="D64" s="121"/>
      <c r="E64" s="121"/>
      <c r="F64" s="122"/>
      <c r="G64" s="23">
        <f>(G59-G60)*(1+'Fane 15. Nøgletal'!C16)</f>
        <v>35439180.434569381</v>
      </c>
      <c r="H64" s="14" t="s">
        <v>3</v>
      </c>
      <c r="I64" s="1"/>
    </row>
    <row r="65" spans="1:9" x14ac:dyDescent="0.25">
      <c r="A65" s="1"/>
      <c r="B65" s="120" t="s">
        <v>222</v>
      </c>
      <c r="C65" s="121"/>
      <c r="D65" s="121"/>
      <c r="E65" s="121"/>
      <c r="F65" s="122"/>
      <c r="G65" s="63">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7" t="s">
        <v>223</v>
      </c>
      <c r="C68" s="118"/>
      <c r="D68" s="118"/>
      <c r="E68" s="118"/>
      <c r="F68" s="118"/>
      <c r="G68" s="118"/>
      <c r="H68" s="119"/>
      <c r="I68" s="1"/>
    </row>
    <row r="69" spans="1:9" x14ac:dyDescent="0.25">
      <c r="A69" s="1"/>
      <c r="B69" s="120" t="s">
        <v>221</v>
      </c>
      <c r="C69" s="121"/>
      <c r="D69" s="121"/>
      <c r="E69" s="121"/>
      <c r="F69" s="122"/>
      <c r="G69" s="23">
        <f>(G64-G65)*(1+'Fane 15. Nøgletal'!C16)</f>
        <v>38302666.213682584</v>
      </c>
      <c r="H69" s="14" t="s">
        <v>3</v>
      </c>
      <c r="I69" s="1"/>
    </row>
    <row r="70" spans="1:9" x14ac:dyDescent="0.25">
      <c r="A70" s="1"/>
      <c r="B70" s="120" t="s">
        <v>222</v>
      </c>
      <c r="C70" s="121"/>
      <c r="D70" s="121"/>
      <c r="E70" s="121"/>
      <c r="F70" s="122"/>
      <c r="G70" s="63">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qQAOx+6x8Cwl0pQbhhDhvm5L7LUeUlSpjkCKJS94hBvr9arQ0JXMzHwDqfM/TMUpPUfJVXRXHnyEIGCIBPdIrA==" saltValue="HY8zhibBfQQhvXBQ/fuRiw=="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0" t="s">
        <v>76</v>
      </c>
      <c r="C3" s="110"/>
      <c r="D3" s="110"/>
      <c r="E3" s="110"/>
      <c r="F3" s="110"/>
      <c r="G3" s="110"/>
      <c r="H3" s="1"/>
    </row>
    <row r="4" spans="1:8" ht="15" customHeight="1" x14ac:dyDescent="0.25">
      <c r="A4" s="1"/>
      <c r="B4" s="110"/>
      <c r="C4" s="110"/>
      <c r="D4" s="110"/>
      <c r="E4" s="110"/>
      <c r="F4" s="110"/>
      <c r="G4" s="11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7" t="s">
        <v>10</v>
      </c>
      <c r="C8" s="118"/>
      <c r="D8" s="118"/>
      <c r="E8" s="118"/>
      <c r="F8" s="118"/>
      <c r="G8" s="119"/>
      <c r="H8" s="1"/>
    </row>
    <row r="9" spans="1:8" x14ac:dyDescent="0.25">
      <c r="A9" s="1"/>
      <c r="B9" s="120" t="s">
        <v>271</v>
      </c>
      <c r="C9" s="121"/>
      <c r="D9" s="121"/>
      <c r="E9" s="121"/>
      <c r="F9" s="122"/>
      <c r="G9" s="22">
        <v>0</v>
      </c>
      <c r="H9" s="1"/>
    </row>
    <row r="10" spans="1:8" x14ac:dyDescent="0.25">
      <c r="A10" s="1"/>
      <c r="B10" s="33"/>
      <c r="C10" s="28"/>
      <c r="D10" s="28"/>
      <c r="E10" s="28"/>
      <c r="F10" s="28"/>
      <c r="G10" s="19"/>
      <c r="H10" s="1"/>
    </row>
    <row r="11" spans="1:8" ht="33" customHeight="1" x14ac:dyDescent="0.25">
      <c r="A11" s="1"/>
      <c r="B11" s="131" t="s">
        <v>264</v>
      </c>
      <c r="C11" s="131"/>
      <c r="D11" s="131"/>
      <c r="E11" s="131"/>
      <c r="F11" s="131"/>
      <c r="G11" s="131"/>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KqaXAMINf6+d9chuXrwSGGHPeYI9Z2yTIP2B3tN7hHcLR845Mj9z4VLnyqiTsJEYoFL4/mgRMcIN/vrJ7kDIA==" saltValue="Ut3gHX+vAZWbJYcGvOnib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2023-09-06T10:49:23Z</dcterms:modified>
</cp:coreProperties>
</file>