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ordingborg Spildevand AS (S10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E13" i="37" l="1"/>
  <c r="C11" i="29" l="1"/>
  <c r="E11" i="29"/>
  <c r="E13" i="39"/>
  <c r="C13" i="39"/>
  <c r="J11" i="11"/>
  <c r="H11" i="11"/>
  <c r="E16" i="27" l="1"/>
  <c r="E29" i="20" l="1"/>
  <c r="E23" i="20"/>
  <c r="E17" i="20"/>
  <c r="E11" i="20"/>
  <c r="F10" i="11" l="1"/>
  <c r="F11" i="11" s="1"/>
  <c r="E12" i="29" l="1"/>
  <c r="C12" i="29"/>
  <c r="C12" i="21" l="1"/>
  <c r="C13" i="21" s="1"/>
  <c r="C12" i="2" l="1"/>
  <c r="C15" i="2" l="1"/>
  <c r="C14" i="2"/>
  <c r="G6" i="36" l="1"/>
  <c r="C14" i="39" l="1"/>
  <c r="E14"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20" i="37" s="1"/>
  <c r="C21" i="37" l="1"/>
  <c r="C10" i="2" s="1"/>
  <c r="G44" i="30" s="1"/>
  <c r="G35" i="36"/>
  <c r="G37" i="36" l="1"/>
  <c r="E19" i="27" s="1"/>
  <c r="G41" i="36" l="1"/>
  <c r="G27" i="30"/>
  <c r="G31" i="30" l="1"/>
  <c r="E10" i="37"/>
  <c r="E20" i="37" s="1"/>
  <c r="G33" i="30" l="1"/>
  <c r="G37" i="30" s="1"/>
  <c r="G39" i="30" s="1"/>
  <c r="E21"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<sst xmlns="http://schemas.openxmlformats.org/spreadsheetml/2006/main" count="627" uniqueCount="290">
  <si>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</si>
  <si>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</si>
  <si>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</si>
  <si>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</si>
  <si>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</si>
  <si>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</si>
  <si>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</si>
  <si>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</si>
  <si>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</si>
  <si>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</si>
  <si>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</si>
  <si>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</si>
  <si>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</si>
  <si>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</si>
  <si>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</si>
  <si>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</si>
  <si>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</si>
  <si>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</si>
  <si>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</si>
  <si>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</si>
  <si>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</si>
  <si>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</si>
  <si>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</si>
  <si>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</si>
  <si>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</si>
  <si>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</si>
  <si>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</si>
  <si>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</si>
  <si>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</si>
  <si>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</si>
  <si>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</si>
  <si>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</si>
  <si>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</si>
  <si>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</si>
  <si>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</si>
  <si>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</si>
  <si>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</si>
  <si>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</si>
  <si>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</si>
  <si>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</si>
  <si>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</si>
  <si>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</si>
  <si>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</si>
  <si>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</si>
  <si>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</si>
  <si>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</si>
  <si>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</si>
  <si>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</si>
  <si>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</si>
  <si>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</si>
  <si>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</si>
  <si>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</si>
  <si>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</si>
  <si>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</si>
  <si>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</si>
  <si>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</si>
  <si>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</si>
  <si>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</si>
  <si>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</si>
  <si>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</si>
  <si>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</si>
  <si>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</si>
  <si>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</si>
  <si>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</si>
  <si>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</si>
  <si>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</si>
  <si>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</si>
  <si>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</si>
  <si>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</si>
  <si>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</si>
  <si>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</si>
  <si>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</si>
  <si>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</si>
  <si>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</si>
  <si>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</si>
  <si>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</si>
  <si>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</si>
  <si>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</si>
  <si>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</si>
  <si>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</si>
  <si>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</si>
  <si>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</si>
  <si>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</si>
  <si>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</si>
  <si>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</si>
  <si>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</si>
  <si>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</si>
  <si>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</si>
  <si>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</si>
  <si>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</si>
  <si>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</si>
  <si>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</si>
  <si>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</si>
  <si>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</si>
  <si>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</si>
  <si>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</si>
  <si>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</si>
  <si>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</si>
  <si>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</si>
  <si>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</si>
  <si>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</si>
  <si>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</si>
  <si>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</si>
  <si>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</si>
  <si>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</si>
  <si>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</si>
  <si>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</si>
  <si>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</si>
  <si>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</si>
  <si>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</si>
  <si>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</si>
  <si>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</si>
  <si>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</si>
  <si>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</si>
  <si>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</si>
  <si>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</si>
  <si>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</si>
  <si>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</si>
  <si>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</si>
  <si>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</si>
  <si>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</si>
  <si>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</si>
  <si>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</si>
  <si>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</si>
  <si>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</si>
  <si>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</si>
  <si>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</si>
  <si>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</si>
  <si>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</si>
  <si>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</si>
  <si>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</si>
  <si>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</si>
  <si>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</si>
  <si>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</si>
  <si>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</si>
  <si>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</si>
  <si>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</si>
  <si>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</si>
  <si>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</si>
  <si>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</si>
  <si>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</si>
  <si>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</si>
  <si>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</si>
  <si>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</si>
  <si>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</si>
  <si>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</si>
  <si>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</si>
  <si>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</si>
  <si>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</si>
  <si>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</si>
  <si>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</si>
  <si>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</si>
  <si>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</si>
  <si>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</si>
  <si>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</si>
  <si>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</si>
  <si>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</si>
  <si>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</si>
  <si>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</si>
  <si>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</si>
  <si>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</si>
  <si>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</si>
  <si>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</si>
  <si>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</si>
  <si>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</si>
  <si>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</si>
  <si>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</si>
  <si>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</si>
  <si>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</si>
  <si>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</si>
  <si>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</si>
  <si>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</si>
  <si>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</si>
  <si>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</si>
  <si>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</si>
  <si>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</si>
  <si>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</si>
  <si>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</si>
  <si>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</si>
  <si>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</si>
  <si>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</si>
  <si>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</si>
  <si>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</si>
  <si>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</si>
  <si>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</si>
  <si>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</si>
  <si>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</si>
  <si>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</si>
  <si>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</si>
  <si>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</si>
  <si>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</si>
  <si>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</si>
  <si>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</si>
  <si>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</si>
  <si>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</si>
  <si>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</si>
  <si>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</si>
  <si>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</si>
  <si>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</si>
  <si>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</si>
  <si>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</si>
  <si>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</si>
  <si>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</si>
  <si>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</si>
  <si>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</si>
  <si>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</si>
  <si>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</si>
  <si>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</si>
  <si>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</si>
  <si>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</si>
  <si>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</si>
  <si>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</si>
  <si>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</si>
  <si>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</si>
  <si>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</si>
  <si>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</si>
  <si>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</si>
  <si>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</si>
  <si>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</si>
  <si>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</si>
  <si>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</si>
  <si>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</si>
  <si>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</si>
  <si>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</si>
  <si>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</si>
  <si>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</si>
  <si>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</si>
  <si>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</si>
  <si>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</si>
  <si>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</si>
  <si>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</si>
  <si>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</si>
  <si>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</si>
  <si>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</si>
  <si>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</si>
  <si>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</si>
  <si>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</si>
  <si>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</si>
  <si>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</si>
  <si>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</si>
  <si>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</si>
  <si>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</si>
  <si>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</si>
  <si>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</si>
  <si>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</si>
  <si>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</si>
  <si>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</si>
  <si>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</si>
  <si>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</si>
  <si>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</si>
  <si>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</si>
  <si>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</si>
  <si>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</si>
  <si>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</si>
  <si>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</si>
  <si>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</si>
  <si>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</si>
  <si>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</si>
  <si>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</si>
  <si>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</si>
  <si>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</si>
  <si>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</si>
  <si>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</si>
  <si>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</si>
  <si>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</si>
  <si>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</si>
  <si>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</si>
  <si>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</si>
  <si>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</si>
  <si>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Ingen tilknyttet virksomhed under hovedvirksomheden</t>
  </si>
  <si>
    <t>Flytning af ledninger</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</si>
  <si>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</si>
  <si>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</si>
  <si>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</si>
  <si>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</si>
  <si>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</si>
  <si>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</si>
  <si>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</si>
  <si>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</si>
  <si>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</si>
  <si>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</si>
  <si>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Overløbsbygværker og uvedkommende vand</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</si>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</sst>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6"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10" t="s">
        <v>225</v>
      </c>
      <c r="E8" s="110"/>
      <c r="F8" s="110"/>
      <c r="G8" s="11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99" t="s">
        <v>235</v>
      </c>
      <c r="E14" s="100"/>
      <c r="F14" s="100"/>
      <c r="G14" s="101"/>
      <c r="H14" s="5"/>
      <c r="I14" s="1"/>
    </row>
    <row r="15" spans="1:9" x14ac:dyDescent="0.25">
      <c r="A15" s="1"/>
      <c r="B15" s="1"/>
      <c r="C15" s="6" t="s">
        <v>34</v>
      </c>
      <c r="D15" s="99" t="s">
        <v>170</v>
      </c>
      <c r="E15" s="100"/>
      <c r="F15" s="100"/>
      <c r="G15" s="101"/>
      <c r="H15" s="5"/>
      <c r="I15" s="1"/>
    </row>
    <row r="16" spans="1:9" x14ac:dyDescent="0.25">
      <c r="A16" s="1"/>
      <c r="B16" s="1"/>
      <c r="C16" s="6" t="s">
        <v>35</v>
      </c>
      <c r="D16" s="99" t="s">
        <v>182</v>
      </c>
      <c r="E16" s="100"/>
      <c r="F16" s="100"/>
      <c r="G16" s="101"/>
      <c r="H16" s="5"/>
      <c r="I16" s="1"/>
    </row>
    <row r="17" spans="1:9" x14ac:dyDescent="0.25">
      <c r="A17" s="1"/>
      <c r="B17" s="1"/>
      <c r="C17" s="6" t="s">
        <v>119</v>
      </c>
      <c r="D17" s="99" t="s">
        <v>183</v>
      </c>
      <c r="E17" s="100"/>
      <c r="F17" s="100"/>
      <c r="G17" s="101"/>
      <c r="H17" s="5"/>
      <c r="I17" s="1"/>
    </row>
    <row r="18" spans="1:9" x14ac:dyDescent="0.25">
      <c r="A18" s="1"/>
      <c r="B18" s="1"/>
      <c r="C18" s="6" t="s">
        <v>106</v>
      </c>
      <c r="D18" s="111" t="s">
        <v>95</v>
      </c>
      <c r="E18" s="112"/>
      <c r="F18" s="112"/>
      <c r="G18" s="113"/>
      <c r="H18" s="5"/>
      <c r="I18" s="1"/>
    </row>
    <row r="19" spans="1:9" x14ac:dyDescent="0.25">
      <c r="A19" s="1"/>
      <c r="B19" s="1"/>
      <c r="C19" s="6" t="s">
        <v>107</v>
      </c>
      <c r="D19" s="111" t="s">
        <v>96</v>
      </c>
      <c r="E19" s="112"/>
      <c r="F19" s="112"/>
      <c r="G19" s="113"/>
      <c r="H19" s="5"/>
      <c r="I19" s="1"/>
    </row>
    <row r="20" spans="1:9" x14ac:dyDescent="0.25">
      <c r="A20" s="1"/>
      <c r="B20" s="1"/>
      <c r="C20" s="6" t="s">
        <v>7</v>
      </c>
      <c r="D20" s="111" t="s">
        <v>10</v>
      </c>
      <c r="E20" s="112"/>
      <c r="F20" s="112"/>
      <c r="G20" s="113"/>
      <c r="H20" s="5"/>
      <c r="I20" s="1"/>
    </row>
    <row r="21" spans="1:9" x14ac:dyDescent="0.25">
      <c r="A21" s="1"/>
      <c r="B21" s="1"/>
      <c r="C21" s="6" t="s">
        <v>108</v>
      </c>
      <c r="D21" s="103" t="s">
        <v>12</v>
      </c>
      <c r="E21" s="104"/>
      <c r="F21" s="104"/>
      <c r="G21" s="105"/>
      <c r="H21" s="5"/>
      <c r="I21" s="1"/>
    </row>
    <row r="22" spans="1:9" x14ac:dyDescent="0.25">
      <c r="A22" s="1"/>
      <c r="B22" s="1"/>
      <c r="C22" s="6" t="s">
        <v>83</v>
      </c>
      <c r="D22" s="106" t="s">
        <v>184</v>
      </c>
      <c r="E22" s="107"/>
      <c r="F22" s="107"/>
      <c r="G22" s="108"/>
      <c r="H22" s="5"/>
      <c r="I22" s="1"/>
    </row>
    <row r="23" spans="1:9" x14ac:dyDescent="0.25">
      <c r="A23" s="1"/>
      <c r="B23" s="1"/>
      <c r="C23" s="6" t="s">
        <v>8</v>
      </c>
      <c r="D23" s="106" t="s">
        <v>253</v>
      </c>
      <c r="E23" s="107"/>
      <c r="F23" s="107"/>
      <c r="G23" s="108"/>
      <c r="H23" s="5"/>
      <c r="I23" s="1"/>
    </row>
    <row r="24" spans="1:9" x14ac:dyDescent="0.25">
      <c r="A24" s="1"/>
      <c r="B24" s="1"/>
      <c r="C24" s="6" t="s">
        <v>9</v>
      </c>
      <c r="D24" s="106" t="s">
        <v>185</v>
      </c>
      <c r="E24" s="107"/>
      <c r="F24" s="107"/>
      <c r="G24" s="108"/>
      <c r="H24" s="5"/>
      <c r="I24" s="1"/>
    </row>
    <row r="25" spans="1:9" x14ac:dyDescent="0.25">
      <c r="A25" s="1"/>
      <c r="B25" s="1"/>
      <c r="C25" s="6" t="s">
        <v>246</v>
      </c>
      <c r="D25" s="106" t="s">
        <v>237</v>
      </c>
      <c r="E25" s="107"/>
      <c r="F25" s="107"/>
      <c r="G25" s="108"/>
      <c r="H25" s="1"/>
      <c r="I25" s="1"/>
    </row>
    <row r="26" spans="1:9" x14ac:dyDescent="0.25">
      <c r="A26" s="1"/>
      <c r="B26" s="1"/>
      <c r="C26" s="6" t="s">
        <v>247</v>
      </c>
      <c r="D26" s="106" t="s">
        <v>84</v>
      </c>
      <c r="E26" s="107"/>
      <c r="F26" s="107"/>
      <c r="G26" s="108"/>
      <c r="H26" s="1"/>
      <c r="I26" s="1"/>
    </row>
    <row r="27" spans="1:9" x14ac:dyDescent="0.25">
      <c r="A27" s="1"/>
      <c r="B27" s="1"/>
      <c r="C27" s="6" t="s">
        <v>248</v>
      </c>
      <c r="D27" s="106" t="s">
        <v>85</v>
      </c>
      <c r="E27" s="107"/>
      <c r="F27" s="107"/>
      <c r="G27" s="108"/>
      <c r="H27" s="1"/>
      <c r="I27" s="1"/>
    </row>
    <row r="28" spans="1:9" x14ac:dyDescent="0.25">
      <c r="A28" s="1"/>
      <c r="B28" s="1"/>
      <c r="C28" s="6" t="s">
        <v>15</v>
      </c>
      <c r="D28" s="106" t="s">
        <v>86</v>
      </c>
      <c r="E28" s="107"/>
      <c r="F28" s="107"/>
      <c r="G28" s="108"/>
      <c r="H28" s="1"/>
      <c r="I28" s="1"/>
    </row>
    <row r="29" spans="1:9" x14ac:dyDescent="0.25">
      <c r="A29" s="1"/>
      <c r="B29" s="1"/>
      <c r="C29" s="6" t="s">
        <v>37</v>
      </c>
      <c r="D29" s="106" t="s">
        <v>134</v>
      </c>
      <c r="E29" s="107"/>
      <c r="F29" s="107"/>
      <c r="G29" s="108"/>
      <c r="H29" s="1"/>
      <c r="I29" s="1"/>
    </row>
    <row r="30" spans="1:9" x14ac:dyDescent="0.25">
      <c r="A30" s="1"/>
      <c r="B30" s="1"/>
      <c r="C30" s="6" t="s">
        <v>38</v>
      </c>
      <c r="D30" s="106" t="s">
        <v>36</v>
      </c>
      <c r="E30" s="107"/>
      <c r="F30" s="107"/>
      <c r="G30" s="108"/>
      <c r="H30" s="1"/>
      <c r="I30" s="1"/>
    </row>
    <row r="31" spans="1:9" x14ac:dyDescent="0.25">
      <c r="A31" s="1"/>
      <c r="B31" s="1"/>
      <c r="C31" s="6" t="s">
        <v>249</v>
      </c>
      <c r="D31" s="117" t="s">
        <v>105</v>
      </c>
      <c r="E31" s="118"/>
      <c r="F31" s="118"/>
      <c r="G31" s="11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EwpKM2J/9WdYasXzT+2vl1Q/174lEM3eSIIhQhI6KM6mIpwUdG5Zi4r96Vf1o7LYSuH/caFrsUNb7g69xFyULA==" saltValue="Gdwxpq9zWaBvklO81oiBF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0" t="s">
        <v>111</v>
      </c>
      <c r="C3" s="120"/>
      <c r="D3" s="120"/>
      <c r="E3" s="1"/>
      <c r="F3" s="1"/>
    </row>
    <row r="4" spans="1:6" ht="15" customHeight="1" x14ac:dyDescent="0.25">
      <c r="A4" s="1"/>
      <c r="B4" s="120"/>
      <c r="C4" s="120"/>
      <c r="D4" s="12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199</v>
      </c>
      <c r="C8" s="129"/>
      <c r="D8" s="130"/>
      <c r="E8" s="1"/>
      <c r="F8" s="1"/>
    </row>
    <row r="9" spans="1:6" ht="15" customHeight="1" x14ac:dyDescent="0.25">
      <c r="A9" s="1"/>
      <c r="B9" s="26" t="s">
        <v>32</v>
      </c>
      <c r="C9" s="58" t="s">
        <v>240</v>
      </c>
      <c r="D9" s="11"/>
      <c r="E9" s="1"/>
      <c r="F9" s="1"/>
    </row>
    <row r="10" spans="1:6" x14ac:dyDescent="0.25">
      <c r="A10" s="1"/>
      <c r="B10" s="95" t="s">
        <v>265</v>
      </c>
      <c r="C10" s="9">
        <v>1926918</v>
      </c>
      <c r="D10" s="14" t="s">
        <v>3</v>
      </c>
      <c r="E10" s="1"/>
      <c r="F10" s="1"/>
    </row>
    <row r="11" spans="1:6" x14ac:dyDescent="0.25">
      <c r="A11" s="1"/>
      <c r="B11" s="95" t="s">
        <v>266</v>
      </c>
      <c r="C11" s="9">
        <v>101390</v>
      </c>
      <c r="D11" s="14" t="s">
        <v>3</v>
      </c>
      <c r="E11" s="1"/>
      <c r="F11" s="1"/>
    </row>
    <row r="12" spans="1:6" x14ac:dyDescent="0.25">
      <c r="A12" s="1"/>
      <c r="B12" s="95" t="s">
        <v>267</v>
      </c>
      <c r="C12" s="9">
        <v>344676</v>
      </c>
      <c r="D12" s="14" t="s">
        <v>3</v>
      </c>
      <c r="E12" s="1"/>
      <c r="F12" s="1"/>
    </row>
    <row r="13" spans="1:6" x14ac:dyDescent="0.25">
      <c r="A13" s="1"/>
      <c r="B13" s="32" t="s">
        <v>200</v>
      </c>
      <c r="C13" s="12">
        <f>SUM(C10:C12)</f>
        <v>2372984</v>
      </c>
      <c r="D13" s="13" t="s">
        <v>3</v>
      </c>
      <c r="E13" s="1"/>
      <c r="F13" s="1"/>
    </row>
    <row r="14" spans="1:6" x14ac:dyDescent="0.25">
      <c r="A14" s="1"/>
      <c r="B14" s="32" t="s">
        <v>201</v>
      </c>
      <c r="C14" s="12">
        <f>C13*(1+'Fane 15. Nøgletal'!C15)^2</f>
        <v>2544947.8858022401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8" t="s">
        <v>117</v>
      </c>
      <c r="C17" s="129"/>
      <c r="D17" s="130"/>
      <c r="E17" s="1"/>
      <c r="F17" s="1"/>
    </row>
    <row r="18" spans="1:6" x14ac:dyDescent="0.25">
      <c r="A18" s="1"/>
      <c r="B18" s="95" t="s">
        <v>99</v>
      </c>
      <c r="C18" s="9">
        <v>0</v>
      </c>
      <c r="D18" s="14" t="s">
        <v>3</v>
      </c>
      <c r="E18" s="1"/>
      <c r="F18" s="1"/>
    </row>
    <row r="19" spans="1:6" x14ac:dyDescent="0.25">
      <c r="A19" s="1"/>
      <c r="B19" s="95" t="s">
        <v>129</v>
      </c>
      <c r="C19" s="9">
        <v>0</v>
      </c>
      <c r="D19" s="14" t="s">
        <v>3</v>
      </c>
      <c r="E19" s="1"/>
      <c r="F19" s="1"/>
    </row>
    <row r="20" spans="1:6" x14ac:dyDescent="0.25">
      <c r="A20" s="1"/>
      <c r="B20" s="95" t="s">
        <v>155</v>
      </c>
      <c r="C20" s="9">
        <v>0</v>
      </c>
      <c r="D20" s="14" t="s">
        <v>3</v>
      </c>
      <c r="E20" s="1"/>
      <c r="F20" s="1"/>
    </row>
    <row r="21" spans="1:6" x14ac:dyDescent="0.25">
      <c r="A21" s="1"/>
      <c r="B21" s="33" t="s">
        <v>202</v>
      </c>
      <c r="C21" s="9">
        <v>0</v>
      </c>
      <c r="D21" s="40" t="s">
        <v>3</v>
      </c>
      <c r="E21" s="1"/>
      <c r="F21" s="1"/>
    </row>
    <row r="22" spans="1:6" x14ac:dyDescent="0.25">
      <c r="A22" s="1"/>
      <c r="B22" s="128"/>
      <c r="C22" s="129"/>
      <c r="D22" s="130"/>
      <c r="E22" s="1"/>
      <c r="F22" s="1"/>
    </row>
    <row r="23" spans="1:6" x14ac:dyDescent="0.25">
      <c r="A23" s="1"/>
      <c r="B23" s="1"/>
      <c r="C23" s="1"/>
      <c r="D23" s="1"/>
      <c r="E23" s="1"/>
      <c r="F23" s="1"/>
    </row>
    <row r="24" spans="1:6" x14ac:dyDescent="0.25">
      <c r="A24" s="1"/>
      <c r="B24" s="1"/>
      <c r="C24" s="1"/>
      <c r="D24" s="1"/>
      <c r="E24" s="1"/>
      <c r="F24" s="1"/>
    </row>
    <row r="25" spans="1:6" x14ac:dyDescent="0.25">
      <c r="A25" s="1"/>
      <c r="B25" s="128" t="s">
        <v>98</v>
      </c>
      <c r="C25" s="129"/>
      <c r="D25" s="130"/>
      <c r="E25" s="1"/>
      <c r="F25" s="1"/>
    </row>
    <row r="26" spans="1:6" x14ac:dyDescent="0.25">
      <c r="A26" s="1"/>
      <c r="B26" s="95" t="s">
        <v>99</v>
      </c>
      <c r="C26" s="9">
        <v>0</v>
      </c>
      <c r="D26" s="14" t="s">
        <v>3</v>
      </c>
      <c r="E26" s="1"/>
      <c r="F26" s="1"/>
    </row>
    <row r="27" spans="1:6" x14ac:dyDescent="0.25">
      <c r="A27" s="1"/>
      <c r="B27" s="95" t="s">
        <v>129</v>
      </c>
      <c r="C27" s="9">
        <v>0</v>
      </c>
      <c r="D27" s="14" t="s">
        <v>3</v>
      </c>
      <c r="E27" s="1"/>
      <c r="F27" s="1"/>
    </row>
    <row r="28" spans="1:6" x14ac:dyDescent="0.25">
      <c r="A28" s="1"/>
      <c r="B28" s="95" t="s">
        <v>155</v>
      </c>
      <c r="C28" s="9">
        <v>0</v>
      </c>
      <c r="D28" s="14" t="s">
        <v>3</v>
      </c>
      <c r="E28" s="1"/>
      <c r="F28" s="1"/>
    </row>
    <row r="29" spans="1:6" x14ac:dyDescent="0.25">
      <c r="A29" s="1"/>
      <c r="B29" s="33" t="s">
        <v>202</v>
      </c>
      <c r="C29" s="9">
        <v>0</v>
      </c>
      <c r="D29" s="40" t="s">
        <v>3</v>
      </c>
      <c r="E29" s="1"/>
      <c r="F29" s="1"/>
    </row>
    <row r="30" spans="1:6" x14ac:dyDescent="0.25">
      <c r="A30" s="1"/>
      <c r="B30" s="128"/>
      <c r="C30" s="129"/>
      <c r="D30" s="130"/>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3XWQBtAhc5R7GkgL0Dv6y8fQZWNTDAB3U+A/d8dfuwfGh8DFL64vcBh6bxmqf2zy5YKwUQqT9chyp5oubXwXtQ==" saltValue="2jMZUniQld1J5uEtROl2s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203</v>
      </c>
      <c r="C3" s="136"/>
      <c r="D3" s="136"/>
      <c r="E3" s="136"/>
      <c r="F3" s="136"/>
      <c r="G3" s="1"/>
    </row>
    <row r="4" spans="1:7" ht="15" customHeight="1" x14ac:dyDescent="0.25">
      <c r="A4" s="1"/>
      <c r="B4" s="136"/>
      <c r="C4" s="136"/>
      <c r="D4" s="136"/>
      <c r="E4" s="136"/>
      <c r="F4" s="136"/>
      <c r="G4" s="1"/>
    </row>
    <row r="5" spans="1:7" ht="15" customHeight="1" x14ac:dyDescent="0.25">
      <c r="A5" s="1"/>
      <c r="B5" s="83"/>
      <c r="C5" s="83"/>
      <c r="D5" s="83"/>
      <c r="E5" s="83"/>
      <c r="F5" s="83"/>
      <c r="G5" s="1"/>
    </row>
    <row r="6" spans="1:7" ht="15" customHeight="1" x14ac:dyDescent="0.25">
      <c r="A6" s="1"/>
      <c r="B6" s="83"/>
      <c r="C6" s="83"/>
      <c r="D6" s="83"/>
      <c r="E6" s="83"/>
      <c r="F6" s="83"/>
      <c r="G6" s="1"/>
    </row>
    <row r="7" spans="1:7" x14ac:dyDescent="0.25">
      <c r="A7" s="1"/>
      <c r="B7" s="1"/>
      <c r="C7" s="1"/>
      <c r="D7" s="1"/>
      <c r="E7" s="1"/>
      <c r="F7" s="1"/>
      <c r="G7" s="1"/>
    </row>
    <row r="8" spans="1:7" x14ac:dyDescent="0.25">
      <c r="A8" s="1"/>
      <c r="B8" s="128" t="s">
        <v>178</v>
      </c>
      <c r="C8" s="129"/>
      <c r="D8" s="129"/>
      <c r="E8" s="129"/>
      <c r="F8" s="130"/>
      <c r="G8" s="1"/>
    </row>
    <row r="9" spans="1:7" x14ac:dyDescent="0.25">
      <c r="A9" s="1"/>
      <c r="B9" s="138" t="s">
        <v>204</v>
      </c>
      <c r="C9" s="139"/>
      <c r="D9" s="140"/>
      <c r="E9" s="9">
        <v>23980021.307692856</v>
      </c>
      <c r="F9" s="14" t="s">
        <v>3</v>
      </c>
      <c r="G9" s="1"/>
    </row>
    <row r="10" spans="1:7" x14ac:dyDescent="0.25">
      <c r="A10" s="1"/>
      <c r="B10" s="138" t="s">
        <v>263</v>
      </c>
      <c r="C10" s="139"/>
      <c r="D10" s="140"/>
      <c r="E10" s="9">
        <v>23980021.307692856</v>
      </c>
      <c r="F10" s="14" t="s">
        <v>3</v>
      </c>
      <c r="G10" s="1"/>
    </row>
    <row r="11" spans="1:7" x14ac:dyDescent="0.25">
      <c r="A11" s="1"/>
      <c r="B11" s="32"/>
      <c r="C11" s="27"/>
      <c r="D11" s="27"/>
      <c r="E11" s="27"/>
      <c r="F11" s="19"/>
      <c r="G11" s="1"/>
    </row>
    <row r="12" spans="1:7" ht="78.75" customHeight="1" x14ac:dyDescent="0.25">
      <c r="A12" s="1"/>
      <c r="B12" s="131" t="s">
        <v>288</v>
      </c>
      <c r="C12" s="132"/>
      <c r="D12" s="132"/>
      <c r="E12" s="132"/>
      <c r="F12" s="133"/>
      <c r="G12" s="1"/>
    </row>
    <row r="13" spans="1:7" ht="27" customHeight="1" x14ac:dyDescent="0.25">
      <c r="A13" s="1"/>
      <c r="B13" s="1"/>
      <c r="C13" s="1"/>
      <c r="D13" s="1"/>
      <c r="E13" s="1"/>
      <c r="F13" s="1"/>
      <c r="G13" s="1"/>
    </row>
    <row r="14" spans="1:7" ht="28.5" customHeight="1" x14ac:dyDescent="0.25">
      <c r="A14" s="1"/>
      <c r="B14" s="128" t="s">
        <v>179</v>
      </c>
      <c r="C14" s="129"/>
      <c r="D14" s="129"/>
      <c r="E14" s="129"/>
      <c r="F14" s="130"/>
      <c r="G14" s="1"/>
    </row>
    <row r="15" spans="1:7" x14ac:dyDescent="0.25">
      <c r="A15" s="1"/>
      <c r="B15" s="138" t="s">
        <v>283</v>
      </c>
      <c r="C15" s="139"/>
      <c r="D15" s="140"/>
      <c r="E15" s="9">
        <v>0</v>
      </c>
      <c r="F15" s="14" t="s">
        <v>3</v>
      </c>
      <c r="G15" s="1"/>
    </row>
    <row r="16" spans="1:7" x14ac:dyDescent="0.25">
      <c r="A16" s="1"/>
      <c r="B16" s="138" t="s">
        <v>284</v>
      </c>
      <c r="C16" s="139"/>
      <c r="D16" s="140"/>
      <c r="E16" s="9">
        <v>0</v>
      </c>
      <c r="F16" s="14" t="s">
        <v>3</v>
      </c>
      <c r="G16" s="1"/>
    </row>
    <row r="17" spans="1:7" x14ac:dyDescent="0.25">
      <c r="A17" s="1"/>
      <c r="B17" s="32"/>
      <c r="C17" s="27"/>
      <c r="D17" s="27"/>
      <c r="E17" s="27"/>
      <c r="F17" s="19"/>
      <c r="G17" s="1"/>
    </row>
    <row r="18" spans="1:7" ht="31.5" customHeight="1" x14ac:dyDescent="0.25">
      <c r="A18" s="1"/>
      <c r="B18" s="131" t="s">
        <v>289</v>
      </c>
      <c r="C18" s="132"/>
      <c r="D18" s="132"/>
      <c r="E18" s="132"/>
      <c r="F18" s="133"/>
      <c r="G18" s="1"/>
    </row>
    <row r="19" spans="1:7" ht="28.5" customHeight="1" x14ac:dyDescent="0.25">
      <c r="A19" s="1"/>
      <c r="B19" s="1"/>
      <c r="C19" s="1"/>
      <c r="D19" s="1"/>
      <c r="E19" s="1"/>
      <c r="F19" s="1"/>
      <c r="G19" s="1"/>
    </row>
    <row r="20" spans="1:7" ht="28.5" customHeight="1" x14ac:dyDescent="0.25">
      <c r="A20" s="1"/>
      <c r="B20" s="87" t="s">
        <v>205</v>
      </c>
      <c r="C20" s="88"/>
      <c r="D20" s="88"/>
      <c r="E20" s="88"/>
      <c r="F20" s="89"/>
      <c r="G20" s="1"/>
    </row>
    <row r="21" spans="1:7" x14ac:dyDescent="0.25">
      <c r="A21" s="1"/>
      <c r="B21" s="92" t="s">
        <v>206</v>
      </c>
      <c r="C21" s="93"/>
      <c r="D21" s="94"/>
      <c r="E21" s="9">
        <v>93849186.618173078</v>
      </c>
      <c r="F21" s="14" t="s">
        <v>3</v>
      </c>
      <c r="G21" s="1"/>
    </row>
    <row r="22" spans="1:7" x14ac:dyDescent="0.25">
      <c r="A22" s="1"/>
      <c r="B22" s="92" t="s">
        <v>207</v>
      </c>
      <c r="C22" s="93"/>
      <c r="D22" s="94"/>
      <c r="E22" s="9">
        <v>91231350</v>
      </c>
      <c r="F22" s="14" t="s">
        <v>3</v>
      </c>
      <c r="G22" s="1"/>
    </row>
    <row r="23" spans="1:7" x14ac:dyDescent="0.25">
      <c r="A23" s="1"/>
      <c r="B23" s="92" t="s">
        <v>33</v>
      </c>
      <c r="C23" s="93"/>
      <c r="D23" s="94"/>
      <c r="E23" s="9">
        <v>0</v>
      </c>
      <c r="F23" s="14" t="s">
        <v>3</v>
      </c>
      <c r="G23" s="1"/>
    </row>
    <row r="24" spans="1:7" x14ac:dyDescent="0.25">
      <c r="A24" s="1"/>
      <c r="B24" s="90" t="s">
        <v>268</v>
      </c>
      <c r="C24" s="91"/>
      <c r="D24" s="97"/>
      <c r="E24" s="72">
        <f>E21-(E22-E23)</f>
        <v>2617836.6181730777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8" t="s">
        <v>285</v>
      </c>
      <c r="C27" s="129"/>
      <c r="D27" s="129"/>
      <c r="E27" s="129"/>
      <c r="F27" s="130"/>
      <c r="G27" s="1"/>
    </row>
    <row r="28" spans="1:7" x14ac:dyDescent="0.25">
      <c r="A28" s="1"/>
      <c r="B28" s="134" t="s">
        <v>286</v>
      </c>
      <c r="C28" s="135"/>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8"/>
      <c r="C29" s="129"/>
      <c r="D29" s="129"/>
      <c r="E29" s="129"/>
      <c r="F29" s="130"/>
      <c r="G29" s="1"/>
    </row>
    <row r="30" spans="1:7" x14ac:dyDescent="0.25">
      <c r="A30" s="1"/>
      <c r="B30" s="1"/>
      <c r="C30" s="1"/>
      <c r="D30" s="1"/>
      <c r="E30" s="1"/>
      <c r="F30" s="1"/>
      <c r="G30" s="1"/>
    </row>
    <row r="31" spans="1:7" ht="28.5" customHeight="1" x14ac:dyDescent="0.25">
      <c r="A31" s="1"/>
      <c r="B31" s="128" t="s">
        <v>264</v>
      </c>
      <c r="C31" s="129"/>
      <c r="D31" s="129"/>
      <c r="E31" s="129"/>
      <c r="F31" s="130"/>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oQcyCHLPOYCpUKDRN2uVGGeMUoOFdMFYf9dmT30fjSa++bokcp5Vjh36jk1+nNHC9g0qkFe722wnzLYTVGv92g==" saltValue="QQ8MfLdiCMohnn/d1vkTDg=="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0" t="s">
        <v>250</v>
      </c>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262</v>
      </c>
      <c r="C8" s="129"/>
      <c r="D8" s="129"/>
      <c r="E8" s="129"/>
      <c r="F8" s="129"/>
      <c r="G8" s="129"/>
      <c r="H8" s="130"/>
      <c r="I8" s="1"/>
    </row>
    <row r="9" spans="1:9" ht="15" customHeight="1" x14ac:dyDescent="0.25">
      <c r="A9" s="1"/>
      <c r="B9" s="125" t="s">
        <v>251</v>
      </c>
      <c r="C9" s="126"/>
      <c r="D9" s="126"/>
      <c r="E9" s="126"/>
      <c r="F9" s="126"/>
      <c r="G9" s="126"/>
      <c r="H9" s="127"/>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28" t="s">
        <v>252</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BjBNTkTxBoU+OlDi9s9aAovuIw0DkO74eEFIJXwIayYPE6d/sElbZTXnoTbFiNbLykFGEpqD80hQU/aMn1YYJw==" saltValue="TIefawGHUEHBd0J26HIPA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254</v>
      </c>
      <c r="C3" s="136"/>
      <c r="D3" s="136"/>
      <c r="E3" s="136"/>
      <c r="F3" s="136"/>
      <c r="G3" s="1"/>
    </row>
    <row r="4" spans="1:7" ht="1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208</v>
      </c>
      <c r="C9" s="129"/>
      <c r="D9" s="129"/>
      <c r="E9" s="129"/>
      <c r="F9" s="130"/>
      <c r="G9" s="1"/>
    </row>
    <row r="10" spans="1:7" x14ac:dyDescent="0.25">
      <c r="A10" s="1"/>
      <c r="B10" s="131" t="s">
        <v>100</v>
      </c>
      <c r="C10" s="132"/>
      <c r="D10" s="133"/>
      <c r="E10" s="7">
        <v>0</v>
      </c>
      <c r="F10" s="8" t="s">
        <v>3</v>
      </c>
      <c r="G10" s="1"/>
    </row>
    <row r="11" spans="1:7" x14ac:dyDescent="0.25">
      <c r="A11" s="1"/>
      <c r="B11" s="138" t="s">
        <v>209</v>
      </c>
      <c r="C11" s="139"/>
      <c r="D11" s="140"/>
      <c r="E11" s="7">
        <v>0</v>
      </c>
      <c r="F11" s="8" t="s">
        <v>3</v>
      </c>
      <c r="G11" s="1"/>
    </row>
    <row r="12" spans="1:7" x14ac:dyDescent="0.25">
      <c r="A12" s="1"/>
      <c r="B12" s="134" t="s">
        <v>101</v>
      </c>
      <c r="C12" s="135"/>
      <c r="D12" s="158"/>
      <c r="E12" s="10">
        <f>E11-E10</f>
        <v>0</v>
      </c>
      <c r="F12" s="11" t="s">
        <v>3</v>
      </c>
      <c r="G12" s="1"/>
    </row>
    <row r="13" spans="1:7" x14ac:dyDescent="0.25">
      <c r="A13" s="1"/>
      <c r="B13" s="128" t="s">
        <v>94</v>
      </c>
      <c r="C13" s="129"/>
      <c r="D13" s="129"/>
      <c r="E13" s="129"/>
      <c r="F13" s="130"/>
      <c r="G13" s="1"/>
    </row>
    <row r="14" spans="1:7" x14ac:dyDescent="0.25">
      <c r="A14" s="1"/>
      <c r="B14" s="138" t="s">
        <v>210</v>
      </c>
      <c r="C14" s="139"/>
      <c r="D14" s="140"/>
      <c r="E14" s="9"/>
      <c r="F14" s="8" t="s">
        <v>3</v>
      </c>
      <c r="G14" s="1"/>
    </row>
    <row r="15" spans="1:7" x14ac:dyDescent="0.25">
      <c r="A15" s="1"/>
      <c r="B15" s="131" t="s">
        <v>211</v>
      </c>
      <c r="C15" s="132"/>
      <c r="D15" s="133"/>
      <c r="E15" s="9"/>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sscHGe1Krjo36z2yWvP1PGyCCI/jhF87I7/6hkm4zOWpXJscliwDupMOY/5zAzegn7vNv8/+7l1BOglkVALzQ==" saltValue="jtStfp9YO7AF5C0mZubqQ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0" t="s">
        <v>255</v>
      </c>
      <c r="C3" s="120"/>
      <c r="D3" s="120"/>
      <c r="E3" s="120"/>
      <c r="F3" s="120"/>
      <c r="G3" s="120"/>
      <c r="H3" s="120"/>
      <c r="I3" s="120"/>
      <c r="J3" s="120"/>
      <c r="K3" s="120"/>
      <c r="L3" s="1"/>
    </row>
    <row r="4" spans="1:12" ht="15" customHeight="1" x14ac:dyDescent="0.25">
      <c r="A4" s="1"/>
      <c r="B4" s="120"/>
      <c r="C4" s="120"/>
      <c r="D4" s="120"/>
      <c r="E4" s="120"/>
      <c r="F4" s="120"/>
      <c r="G4" s="120"/>
      <c r="H4" s="120"/>
      <c r="I4" s="120"/>
      <c r="J4" s="120"/>
      <c r="K4" s="12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219</v>
      </c>
      <c r="C8" s="129"/>
      <c r="D8" s="129"/>
      <c r="E8" s="129"/>
      <c r="F8" s="129"/>
      <c r="G8" s="129"/>
      <c r="H8" s="129"/>
      <c r="I8" s="129"/>
      <c r="J8" s="129"/>
      <c r="K8" s="130"/>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8" t="s">
        <v>280</v>
      </c>
      <c r="C10" s="41"/>
      <c r="D10" s="9">
        <v>0</v>
      </c>
      <c r="E10" s="14" t="s">
        <v>3</v>
      </c>
      <c r="F10" s="9">
        <f>IFERROR(D10/C10,0)</f>
        <v>0</v>
      </c>
      <c r="G10" s="14" t="s">
        <v>3</v>
      </c>
      <c r="H10" s="44">
        <v>0</v>
      </c>
      <c r="I10" s="14" t="s">
        <v>3</v>
      </c>
      <c r="J10" s="44">
        <v>0</v>
      </c>
      <c r="K10" s="14" t="s">
        <v>3</v>
      </c>
      <c r="L10" s="1"/>
    </row>
    <row r="11" spans="1:12" x14ac:dyDescent="0.25">
      <c r="A11" s="1"/>
      <c r="B11" s="87" t="s">
        <v>220</v>
      </c>
      <c r="C11" s="88"/>
      <c r="D11" s="89"/>
      <c r="E11" s="89"/>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rlOjLm0XVCEUfVNza3aXHOLSfGlI1et8N5VF6QNNelRoheYyJba74qiOw6UjXRHtChoi1KOU4DzhtVuRyMqxg==" saltValue="LmYq9bOcNz4hhUymlErNg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256</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5" t="s">
        <v>17</v>
      </c>
      <c r="C9" s="85" t="s">
        <v>11</v>
      </c>
      <c r="D9" s="86"/>
      <c r="E9" s="85"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281</v>
      </c>
      <c r="C11" s="21">
        <v>0</v>
      </c>
      <c r="D11" s="14" t="s">
        <v>3</v>
      </c>
      <c r="E11" s="9">
        <v>60022</v>
      </c>
      <c r="F11" s="14" t="s">
        <v>3</v>
      </c>
      <c r="G11" s="1"/>
    </row>
    <row r="12" spans="1:7" x14ac:dyDescent="0.25">
      <c r="A12" s="1"/>
      <c r="B12" s="23" t="s">
        <v>270</v>
      </c>
      <c r="C12" s="21">
        <v>0</v>
      </c>
      <c r="D12" s="14" t="s">
        <v>3</v>
      </c>
      <c r="E12" s="9">
        <v>269010</v>
      </c>
      <c r="F12" s="14" t="s">
        <v>3</v>
      </c>
      <c r="G12" s="1"/>
    </row>
    <row r="13" spans="1:7" x14ac:dyDescent="0.25">
      <c r="A13" s="1"/>
      <c r="B13" s="23" t="s">
        <v>271</v>
      </c>
      <c r="C13" s="21">
        <v>0</v>
      </c>
      <c r="D13" s="14" t="s">
        <v>3</v>
      </c>
      <c r="E13" s="9">
        <f>56262+221759</f>
        <v>278021</v>
      </c>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23"/>
      <c r="C16" s="21"/>
      <c r="D16" s="14" t="s">
        <v>3</v>
      </c>
      <c r="E16" s="9"/>
      <c r="F16" s="14" t="s">
        <v>3</v>
      </c>
      <c r="G16" s="1"/>
    </row>
    <row r="17" spans="1:7" x14ac:dyDescent="0.25">
      <c r="A17" s="1"/>
      <c r="B17" s="23"/>
      <c r="C17" s="21"/>
      <c r="D17" s="14" t="s">
        <v>3</v>
      </c>
      <c r="E17" s="9"/>
      <c r="F17" s="14" t="s">
        <v>3</v>
      </c>
      <c r="G17" s="1"/>
    </row>
    <row r="18" spans="1:7" x14ac:dyDescent="0.25">
      <c r="A18" s="1"/>
      <c r="B18" s="23"/>
      <c r="C18" s="21"/>
      <c r="D18" s="14" t="s">
        <v>3</v>
      </c>
      <c r="E18" s="9"/>
      <c r="F18" s="14" t="s">
        <v>3</v>
      </c>
      <c r="G18" s="1"/>
    </row>
    <row r="19" spans="1:7" x14ac:dyDescent="0.25">
      <c r="A19" s="1"/>
      <c r="B19" s="23"/>
      <c r="C19" s="21"/>
      <c r="D19" s="14" t="s">
        <v>3</v>
      </c>
      <c r="E19" s="9"/>
      <c r="F19" s="14" t="s">
        <v>3</v>
      </c>
      <c r="G19" s="1"/>
    </row>
    <row r="20" spans="1:7" x14ac:dyDescent="0.25">
      <c r="A20" s="1"/>
      <c r="B20" s="32" t="s">
        <v>156</v>
      </c>
      <c r="C20" s="12">
        <f>SUM(C10:C19)</f>
        <v>0</v>
      </c>
      <c r="D20" s="13" t="s">
        <v>3</v>
      </c>
      <c r="E20" s="12">
        <f>SUM(E10:E19)</f>
        <v>607053</v>
      </c>
      <c r="F20" s="13" t="s">
        <v>3</v>
      </c>
      <c r="G20" s="1"/>
    </row>
    <row r="21" spans="1:7" x14ac:dyDescent="0.25">
      <c r="A21" s="1"/>
      <c r="B21" s="32" t="s">
        <v>213</v>
      </c>
      <c r="C21" s="12">
        <f>C20*(1+'Fane 15. Nøgletal'!C15)</f>
        <v>0</v>
      </c>
      <c r="D21" s="13" t="s">
        <v>3</v>
      </c>
      <c r="E21" s="12">
        <f>E20*(1+'Fane 15. Nøgletal'!C15)</f>
        <v>628664.08680000005</v>
      </c>
      <c r="F21" s="13"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sheetData>
  <sheetProtection algorithmName="SHA-512" hashValue="VY6urbIm3Y/kUkVT5UTjFv/prciI61ppBPA9lgm2vqEX8j9tvaBkOsCP0MC68O3+GN2XK+XBsuuGg9utlCG1wA==" saltValue="Iuqpmdw+y/TQT9NbCtpWe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257</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97</v>
      </c>
      <c r="C8" s="129"/>
      <c r="D8" s="129"/>
      <c r="E8" s="129"/>
      <c r="F8" s="130"/>
      <c r="G8" s="1"/>
    </row>
    <row r="9" spans="1:7" x14ac:dyDescent="0.25">
      <c r="A9" s="1"/>
      <c r="B9" s="85" t="s">
        <v>17</v>
      </c>
      <c r="C9" s="85" t="s">
        <v>11</v>
      </c>
      <c r="D9" s="86"/>
      <c r="E9" s="85" t="s">
        <v>31</v>
      </c>
      <c r="F9" s="31"/>
      <c r="G9" s="1"/>
    </row>
    <row r="10" spans="1:7" x14ac:dyDescent="0.25">
      <c r="A10" s="1"/>
      <c r="B10" s="23" t="s">
        <v>282</v>
      </c>
      <c r="C10" s="21">
        <v>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32" t="s">
        <v>232</v>
      </c>
      <c r="C13" s="12">
        <f>SUM(C10:C12)</f>
        <v>0</v>
      </c>
      <c r="D13" s="13" t="s">
        <v>3</v>
      </c>
      <c r="E13" s="12">
        <f>SUM(E10:E12)</f>
        <v>0</v>
      </c>
      <c r="F13" s="13" t="s">
        <v>3</v>
      </c>
      <c r="G13" s="1"/>
    </row>
    <row r="14" spans="1:7" x14ac:dyDescent="0.25">
      <c r="A14" s="1"/>
      <c r="B14" s="32" t="s">
        <v>136</v>
      </c>
      <c r="C14" s="12">
        <f>C13*(1+'Fane 15. Nøgletal'!C15)^2</f>
        <v>0</v>
      </c>
      <c r="D14" s="13" t="s">
        <v>3</v>
      </c>
      <c r="E14" s="12">
        <f>E13*(1+'Fane 15. Nøgletal'!C15)^2</f>
        <v>0</v>
      </c>
      <c r="F14" s="13" t="s">
        <v>3</v>
      </c>
      <c r="G14" s="1"/>
    </row>
    <row r="15" spans="1:7" x14ac:dyDescent="0.25">
      <c r="A15" s="1"/>
      <c r="B15" s="1"/>
      <c r="C15" s="1"/>
      <c r="D15" s="1"/>
      <c r="E15" s="1"/>
      <c r="F15" s="1"/>
      <c r="G15" s="1"/>
    </row>
    <row r="16" spans="1:7" x14ac:dyDescent="0.25">
      <c r="A16" s="1"/>
      <c r="B16" s="164"/>
      <c r="C16" s="164"/>
      <c r="D16" s="164"/>
      <c r="E16" s="164"/>
      <c r="F16" s="164"/>
      <c r="G16" s="1"/>
    </row>
    <row r="17" spans="1:7" x14ac:dyDescent="0.25">
      <c r="A17" s="1"/>
      <c r="B17" s="60"/>
      <c r="C17" s="60"/>
      <c r="D17" s="60"/>
      <c r="E17" s="60"/>
      <c r="F17" s="61"/>
      <c r="G17" s="1"/>
    </row>
    <row r="18" spans="1:7" x14ac:dyDescent="0.25">
      <c r="A18" s="1"/>
      <c r="B18" s="62"/>
      <c r="C18" s="63"/>
      <c r="D18" s="64"/>
      <c r="E18" s="65"/>
      <c r="F18" s="64"/>
      <c r="G18" s="1"/>
    </row>
    <row r="19" spans="1:7" x14ac:dyDescent="0.25">
      <c r="A19" s="1"/>
      <c r="B19" s="62"/>
      <c r="C19" s="63"/>
      <c r="D19" s="64"/>
      <c r="E19" s="65"/>
      <c r="F19" s="64"/>
      <c r="G19" s="1"/>
    </row>
    <row r="20" spans="1:7" x14ac:dyDescent="0.25">
      <c r="A20" s="1"/>
      <c r="B20" s="66"/>
      <c r="C20" s="67"/>
      <c r="D20" s="68"/>
      <c r="E20" s="67"/>
      <c r="F20" s="68"/>
      <c r="G20" s="1"/>
    </row>
    <row r="21" spans="1:7" x14ac:dyDescent="0.25">
      <c r="A21" s="1"/>
      <c r="B21" s="66"/>
      <c r="C21" s="67"/>
      <c r="D21" s="68"/>
      <c r="E21" s="67"/>
      <c r="F21" s="68"/>
      <c r="G21" s="1"/>
    </row>
    <row r="22" spans="1:7" x14ac:dyDescent="0.25">
      <c r="A22" s="1"/>
      <c r="B22" s="59"/>
      <c r="C22" s="59"/>
      <c r="D22" s="59"/>
      <c r="E22" s="59"/>
      <c r="F22" s="59"/>
      <c r="G22" s="1"/>
    </row>
    <row r="23" spans="1:7" x14ac:dyDescent="0.25">
      <c r="A23" s="1"/>
      <c r="B23" s="164"/>
      <c r="C23" s="164"/>
      <c r="D23" s="164"/>
      <c r="E23" s="164"/>
      <c r="F23" s="164"/>
      <c r="G23" s="1"/>
    </row>
    <row r="24" spans="1:7" x14ac:dyDescent="0.25">
      <c r="A24" s="1"/>
      <c r="B24" s="60"/>
      <c r="C24" s="60"/>
      <c r="D24" s="60"/>
      <c r="E24" s="60"/>
      <c r="F24" s="61"/>
      <c r="G24" s="1"/>
    </row>
    <row r="25" spans="1:7" x14ac:dyDescent="0.25">
      <c r="A25" s="1"/>
      <c r="B25" s="62"/>
      <c r="C25" s="63"/>
      <c r="D25" s="64"/>
      <c r="E25" s="65"/>
      <c r="F25" s="64"/>
      <c r="G25" s="1"/>
    </row>
    <row r="26" spans="1:7" x14ac:dyDescent="0.25">
      <c r="A26" s="1"/>
      <c r="B26" s="62"/>
      <c r="C26" s="63"/>
      <c r="D26" s="64"/>
      <c r="E26" s="65"/>
      <c r="F26" s="64"/>
      <c r="G26" s="1"/>
    </row>
    <row r="27" spans="1:7" x14ac:dyDescent="0.25">
      <c r="A27" s="1"/>
      <c r="B27" s="66"/>
      <c r="C27" s="67"/>
      <c r="D27" s="68"/>
      <c r="E27" s="67"/>
      <c r="F27" s="68"/>
      <c r="G27" s="1"/>
    </row>
    <row r="28" spans="1:7" x14ac:dyDescent="0.25">
      <c r="A28" s="1"/>
      <c r="B28" s="66"/>
      <c r="C28" s="67"/>
      <c r="D28" s="68"/>
      <c r="E28" s="67"/>
      <c r="F28" s="68"/>
      <c r="G28" s="1"/>
    </row>
    <row r="29" spans="1:7" x14ac:dyDescent="0.25">
      <c r="A29" s="1"/>
      <c r="B29" s="59"/>
      <c r="C29" s="59"/>
      <c r="D29" s="59"/>
      <c r="E29" s="59"/>
      <c r="F29" s="59"/>
      <c r="G29" s="1"/>
    </row>
    <row r="30" spans="1:7" x14ac:dyDescent="0.25">
      <c r="A30" s="1"/>
      <c r="B30" s="164"/>
      <c r="C30" s="164"/>
      <c r="D30" s="164"/>
      <c r="E30" s="164"/>
      <c r="F30" s="164"/>
      <c r="G30" s="1"/>
    </row>
    <row r="31" spans="1:7" x14ac:dyDescent="0.25">
      <c r="A31" s="1"/>
      <c r="B31" s="60"/>
      <c r="C31" s="60"/>
      <c r="D31" s="60"/>
      <c r="E31" s="60"/>
      <c r="F31" s="61"/>
      <c r="G31" s="1"/>
    </row>
    <row r="32" spans="1:7" x14ac:dyDescent="0.25">
      <c r="A32" s="1"/>
      <c r="B32" s="62"/>
      <c r="C32" s="63"/>
      <c r="D32" s="64"/>
      <c r="E32" s="65"/>
      <c r="F32" s="64"/>
      <c r="G32" s="1"/>
    </row>
    <row r="33" spans="1:7" x14ac:dyDescent="0.25">
      <c r="A33" s="1"/>
      <c r="B33" s="62"/>
      <c r="C33" s="63"/>
      <c r="D33" s="64"/>
      <c r="E33" s="65"/>
      <c r="F33" s="64"/>
      <c r="G33" s="1"/>
    </row>
    <row r="34" spans="1:7" x14ac:dyDescent="0.25">
      <c r="A34" s="1"/>
      <c r="B34" s="66"/>
      <c r="C34" s="67"/>
      <c r="D34" s="68"/>
      <c r="E34" s="67"/>
      <c r="F34" s="68"/>
      <c r="G34" s="1"/>
    </row>
    <row r="35" spans="1:7" x14ac:dyDescent="0.25">
      <c r="A35" s="1"/>
      <c r="B35" s="66"/>
      <c r="C35" s="67"/>
      <c r="D35" s="68"/>
      <c r="E35" s="67"/>
      <c r="F35" s="6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hD+SOem9OOP4R3pAZHgJ+2cB4g/UGXSEiRjMnz0t/2Wr5W+EC7UVkbQfdY/Jr52TJlr5dPjkQTT76cjiu5gP8Q==" saltValue="cppAS/9N6lbG1cjZd6pMJ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258</v>
      </c>
      <c r="C3" s="136"/>
      <c r="D3" s="136"/>
      <c r="E3" s="136"/>
      <c r="F3" s="136"/>
      <c r="G3" s="1"/>
    </row>
    <row r="4" spans="1:7" ht="15" customHeight="1" x14ac:dyDescent="0.25">
      <c r="A4" s="1"/>
      <c r="B4" s="136"/>
      <c r="C4" s="136"/>
      <c r="D4" s="136"/>
      <c r="E4" s="136"/>
      <c r="F4" s="136"/>
      <c r="G4" s="1"/>
    </row>
    <row r="5" spans="1:7" x14ac:dyDescent="0.25">
      <c r="A5" s="1"/>
      <c r="B5" s="136"/>
      <c r="C5" s="136"/>
      <c r="D5" s="136"/>
      <c r="E5" s="136"/>
      <c r="F5" s="13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8" t="s">
        <v>91</v>
      </c>
      <c r="C9" s="129"/>
      <c r="D9" s="129"/>
      <c r="E9" s="129"/>
      <c r="F9" s="130"/>
      <c r="G9" s="1"/>
    </row>
    <row r="10" spans="1:7" x14ac:dyDescent="0.25">
      <c r="A10" s="1"/>
      <c r="B10" s="159" t="s">
        <v>224</v>
      </c>
      <c r="C10" s="160"/>
      <c r="D10" s="161"/>
      <c r="E10" s="9">
        <v>0</v>
      </c>
      <c r="F10" s="14" t="s">
        <v>3</v>
      </c>
      <c r="G10" s="1"/>
    </row>
    <row r="11" spans="1:7" x14ac:dyDescent="0.25">
      <c r="A11" s="1"/>
      <c r="B11" s="122" t="s">
        <v>10</v>
      </c>
      <c r="C11" s="123"/>
      <c r="D11" s="124"/>
      <c r="E11" s="9">
        <f>-E10*'Fane 5. Individuelt eff. krav'!G9</f>
        <v>0</v>
      </c>
      <c r="F11" s="14" t="s">
        <v>3</v>
      </c>
      <c r="G11" s="1"/>
    </row>
    <row r="12" spans="1:7" x14ac:dyDescent="0.25">
      <c r="A12" s="1"/>
      <c r="B12" s="122" t="s">
        <v>24</v>
      </c>
      <c r="C12" s="123"/>
      <c r="D12" s="124"/>
      <c r="E12" s="9">
        <f>-E10*'Fane 15. Nøgletal'!C31</f>
        <v>0</v>
      </c>
      <c r="F12" s="14" t="s">
        <v>3</v>
      </c>
      <c r="G12" s="1"/>
    </row>
    <row r="13" spans="1:7" x14ac:dyDescent="0.25">
      <c r="A13" s="1"/>
      <c r="B13" s="128" t="s">
        <v>92</v>
      </c>
      <c r="C13" s="129"/>
      <c r="D13" s="130"/>
      <c r="E13" s="12">
        <f>SUM(E10:E12)*(1+'Fane 15. Nøgletal'!C15)^2</f>
        <v>0</v>
      </c>
      <c r="F13" s="13" t="s">
        <v>3</v>
      </c>
      <c r="G13" s="1"/>
    </row>
    <row r="14" spans="1:7" x14ac:dyDescent="0.25">
      <c r="A14" s="1"/>
      <c r="B14" s="1"/>
      <c r="C14" s="1"/>
      <c r="D14" s="1"/>
      <c r="E14" s="1"/>
      <c r="F14" s="1"/>
      <c r="G14" s="1"/>
    </row>
    <row r="15" spans="1:7" ht="15" customHeight="1" x14ac:dyDescent="0.25">
      <c r="A15" s="1"/>
      <c r="B15" s="128" t="s">
        <v>130</v>
      </c>
      <c r="C15" s="129"/>
      <c r="D15" s="129"/>
      <c r="E15" s="129"/>
      <c r="F15" s="130"/>
      <c r="G15" s="1"/>
    </row>
    <row r="16" spans="1:7" x14ac:dyDescent="0.25">
      <c r="A16" s="1"/>
      <c r="B16" s="159" t="s">
        <v>224</v>
      </c>
      <c r="C16" s="160"/>
      <c r="D16" s="161"/>
      <c r="E16" s="9">
        <v>0</v>
      </c>
      <c r="F16" s="14" t="s">
        <v>3</v>
      </c>
      <c r="G16" s="1"/>
    </row>
    <row r="17" spans="1:7" x14ac:dyDescent="0.25">
      <c r="A17" s="1"/>
      <c r="B17" s="122" t="s">
        <v>10</v>
      </c>
      <c r="C17" s="123"/>
      <c r="D17" s="124"/>
      <c r="E17" s="9">
        <f>-E16*'Fane 5. Individuelt eff. krav'!G9</f>
        <v>0</v>
      </c>
      <c r="F17" s="14" t="s">
        <v>3</v>
      </c>
      <c r="G17" s="1"/>
    </row>
    <row r="18" spans="1:7" x14ac:dyDescent="0.25">
      <c r="A18" s="1"/>
      <c r="B18" s="122" t="s">
        <v>24</v>
      </c>
      <c r="C18" s="123"/>
      <c r="D18" s="124"/>
      <c r="E18" s="9">
        <f>-E16*'Fane 15. Nøgletal'!C31</f>
        <v>0</v>
      </c>
      <c r="F18" s="14" t="s">
        <v>3</v>
      </c>
      <c r="G18" s="1"/>
    </row>
    <row r="19" spans="1:7" x14ac:dyDescent="0.25">
      <c r="A19" s="1"/>
      <c r="B19" s="128" t="s">
        <v>131</v>
      </c>
      <c r="C19" s="129"/>
      <c r="D19" s="130"/>
      <c r="E19" s="12">
        <f>SUM(E16:E18)*(1+'Fane 15. Nøgletal'!C15)^3</f>
        <v>0</v>
      </c>
      <c r="F19" s="13" t="s">
        <v>3</v>
      </c>
      <c r="G19" s="1"/>
    </row>
    <row r="20" spans="1:7" x14ac:dyDescent="0.25">
      <c r="A20" s="1"/>
      <c r="B20" s="1"/>
      <c r="C20" s="1"/>
      <c r="D20" s="1"/>
      <c r="E20" s="1"/>
      <c r="F20" s="1"/>
      <c r="G20" s="1"/>
    </row>
    <row r="21" spans="1:7" ht="15" customHeight="1" x14ac:dyDescent="0.25">
      <c r="A21" s="1"/>
      <c r="B21" s="128" t="s">
        <v>157</v>
      </c>
      <c r="C21" s="129"/>
      <c r="D21" s="129"/>
      <c r="E21" s="129"/>
      <c r="F21" s="130"/>
      <c r="G21" s="1"/>
    </row>
    <row r="22" spans="1:7" x14ac:dyDescent="0.25">
      <c r="A22" s="1"/>
      <c r="B22" s="159" t="s">
        <v>224</v>
      </c>
      <c r="C22" s="160"/>
      <c r="D22" s="161"/>
      <c r="E22" s="9">
        <v>0</v>
      </c>
      <c r="F22" s="14" t="s">
        <v>3</v>
      </c>
      <c r="G22" s="1"/>
    </row>
    <row r="23" spans="1:7" x14ac:dyDescent="0.25">
      <c r="A23" s="1"/>
      <c r="B23" s="122" t="s">
        <v>10</v>
      </c>
      <c r="C23" s="123"/>
      <c r="D23" s="124"/>
      <c r="E23" s="9">
        <f>-E22*'Fane 5. Individuelt eff. krav'!G9</f>
        <v>0</v>
      </c>
      <c r="F23" s="14" t="s">
        <v>3</v>
      </c>
      <c r="G23" s="1"/>
    </row>
    <row r="24" spans="1:7" x14ac:dyDescent="0.25">
      <c r="A24" s="1"/>
      <c r="B24" s="122" t="s">
        <v>24</v>
      </c>
      <c r="C24" s="123"/>
      <c r="D24" s="124"/>
      <c r="E24" s="9">
        <f>-E22*'Fane 15. Nøgletal'!C31</f>
        <v>0</v>
      </c>
      <c r="F24" s="14" t="s">
        <v>3</v>
      </c>
      <c r="G24" s="1"/>
    </row>
    <row r="25" spans="1:7" x14ac:dyDescent="0.25">
      <c r="A25" s="1"/>
      <c r="B25" s="128" t="s">
        <v>158</v>
      </c>
      <c r="C25" s="129"/>
      <c r="D25" s="130"/>
      <c r="E25" s="12">
        <f>SUM(E22:E24)*(1+'Fane 15. Nøgletal'!C15)^4</f>
        <v>0</v>
      </c>
      <c r="F25" s="13" t="s">
        <v>3</v>
      </c>
      <c r="G25" s="1"/>
    </row>
    <row r="26" spans="1:7" x14ac:dyDescent="0.25">
      <c r="A26" s="1"/>
      <c r="B26" s="1"/>
      <c r="C26" s="1"/>
      <c r="D26" s="1"/>
      <c r="E26" s="1"/>
      <c r="F26" s="1"/>
      <c r="G26" s="1"/>
    </row>
    <row r="27" spans="1:7" ht="15" customHeight="1" x14ac:dyDescent="0.25">
      <c r="A27" s="1"/>
      <c r="B27" s="128" t="s">
        <v>214</v>
      </c>
      <c r="C27" s="129"/>
      <c r="D27" s="129"/>
      <c r="E27" s="129"/>
      <c r="F27" s="130"/>
      <c r="G27" s="1"/>
    </row>
    <row r="28" spans="1:7" ht="14.25" customHeight="1" x14ac:dyDescent="0.25">
      <c r="A28" s="1"/>
      <c r="B28" s="159" t="s">
        <v>224</v>
      </c>
      <c r="C28" s="160"/>
      <c r="D28" s="161"/>
      <c r="E28" s="9">
        <v>0</v>
      </c>
      <c r="F28" s="14" t="s">
        <v>3</v>
      </c>
      <c r="G28" s="1"/>
    </row>
    <row r="29" spans="1:7" x14ac:dyDescent="0.25">
      <c r="A29" s="1"/>
      <c r="B29" s="122" t="s">
        <v>10</v>
      </c>
      <c r="C29" s="123"/>
      <c r="D29" s="124"/>
      <c r="E29" s="9">
        <f>-E28*'Fane 5. Individuelt eff. krav'!G9</f>
        <v>0</v>
      </c>
      <c r="F29" s="14" t="s">
        <v>3</v>
      </c>
      <c r="G29" s="1"/>
    </row>
    <row r="30" spans="1:7" x14ac:dyDescent="0.25">
      <c r="A30" s="1"/>
      <c r="B30" s="122" t="s">
        <v>24</v>
      </c>
      <c r="C30" s="123"/>
      <c r="D30" s="124"/>
      <c r="E30" s="9">
        <f>-E28*'Fane 15. Nøgletal'!C31</f>
        <v>0</v>
      </c>
      <c r="F30" s="14" t="s">
        <v>3</v>
      </c>
      <c r="G30" s="1"/>
    </row>
    <row r="31" spans="1:7" x14ac:dyDescent="0.25">
      <c r="A31" s="1"/>
      <c r="B31" s="128" t="s">
        <v>215</v>
      </c>
      <c r="C31" s="129"/>
      <c r="D31" s="13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SlBqKvPto7MkmdCIXzoj576gLG9fSdBOZUBnbw3VLEHRb3wBvBSgLZfYUPh+YWze5JQvWsZtv26XAof7DWdvg==" saltValue="JnCjzJx6h2RE99iT0drKu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259</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132</v>
      </c>
      <c r="C8" s="129"/>
      <c r="D8" s="129"/>
      <c r="E8" s="129"/>
      <c r="F8" s="130"/>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3T0oxCu5IPbkDsI+TQOULEO617ZU/h7sEl17gkSXrdKd+G8//YH3v0/lWebryH2ZlJQ6dExNNCJt+aQAX3VHow==" saltValue="I14JvSPWZ28fcFyQ1Ir85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260</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93</v>
      </c>
      <c r="C9" s="129"/>
      <c r="D9" s="129"/>
      <c r="E9" s="129"/>
      <c r="F9" s="130"/>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59TxHUjAuq1d0YkEbdI0+MzhZWae4ddftadkbho7yo79Lyo5iGnFXmc1QfmP3vRBbpT3rRk2f87YpjPJHWuJaw==" saltValue="qJeVcXUBBBjp92GMW7964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181</v>
      </c>
      <c r="C3" s="120"/>
      <c r="D3" s="120"/>
      <c r="E3" s="1"/>
    </row>
    <row r="4" spans="1:5" ht="15" customHeight="1"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88452996.458448604</v>
      </c>
      <c r="D9" s="8" t="s">
        <v>3</v>
      </c>
      <c r="E9" s="1"/>
    </row>
    <row r="10" spans="1:5" ht="17.25" customHeight="1" x14ac:dyDescent="0.25">
      <c r="A10" s="1"/>
      <c r="B10" s="84" t="s">
        <v>39</v>
      </c>
      <c r="C10" s="7">
        <f>'Fane 11.1. Varige tillæg'!C21</f>
        <v>0</v>
      </c>
      <c r="D10" s="8" t="s">
        <v>3</v>
      </c>
      <c r="E10" s="1"/>
    </row>
    <row r="11" spans="1:5" ht="17.25" customHeight="1" x14ac:dyDescent="0.25">
      <c r="A11" s="1"/>
      <c r="B11" s="84" t="s">
        <v>40</v>
      </c>
      <c r="C11" s="9">
        <f>'Fane 11.1. Varige tillæg'!E21</f>
        <v>628664.08680000005</v>
      </c>
      <c r="D11" s="8" t="s">
        <v>3</v>
      </c>
      <c r="E11" s="1"/>
    </row>
    <row r="12" spans="1:5" ht="17.25" customHeight="1" x14ac:dyDescent="0.25">
      <c r="A12" s="1"/>
      <c r="B12" s="84" t="s">
        <v>27</v>
      </c>
      <c r="C12" s="9">
        <f>-'Fane 14. Bortfald'!C13</f>
        <v>0</v>
      </c>
      <c r="D12" s="8" t="s">
        <v>3</v>
      </c>
      <c r="E12" s="1"/>
    </row>
    <row r="13" spans="1:5" ht="17.25" customHeight="1" x14ac:dyDescent="0.25">
      <c r="A13" s="1"/>
      <c r="B13" s="84" t="s">
        <v>26</v>
      </c>
      <c r="C13" s="9">
        <f>-'Fane 14. Bortfald'!E13</f>
        <v>0</v>
      </c>
      <c r="D13" s="8" t="s">
        <v>3</v>
      </c>
      <c r="E13" s="1"/>
    </row>
    <row r="14" spans="1:5" ht="17.25" customHeight="1" x14ac:dyDescent="0.25">
      <c r="A14" s="1"/>
      <c r="B14" s="84" t="s">
        <v>124</v>
      </c>
      <c r="C14" s="9">
        <f>'Fane 13. Tilknyttet virksomhed'!C12</f>
        <v>0</v>
      </c>
      <c r="D14" s="8" t="s">
        <v>3</v>
      </c>
      <c r="E14" s="1"/>
    </row>
    <row r="15" spans="1:5" ht="17.25" customHeight="1" x14ac:dyDescent="0.25">
      <c r="A15" s="1"/>
      <c r="B15" s="84" t="s">
        <v>125</v>
      </c>
      <c r="C15" s="9">
        <f>'Fane 13. Tilknyttet virksomhed'!E12</f>
        <v>0</v>
      </c>
      <c r="D15" s="8" t="s">
        <v>3</v>
      </c>
      <c r="E15" s="1"/>
    </row>
    <row r="16" spans="1:5" ht="17.25" customHeight="1" x14ac:dyDescent="0.25">
      <c r="A16" s="1"/>
      <c r="B16" s="84" t="s">
        <v>19</v>
      </c>
      <c r="C16" s="44">
        <f>SUM(C9)*'Fane 15. Nøgletal'!C14+SUM(C10:C15)*'Fane 15. Nøgletal'!C15</f>
        <v>314275.32980296039</v>
      </c>
      <c r="D16" s="8" t="s">
        <v>3</v>
      </c>
      <c r="E16" s="1"/>
    </row>
    <row r="17" spans="1:5" ht="17.25" customHeight="1" x14ac:dyDescent="0.25">
      <c r="A17" s="1"/>
      <c r="B17" s="84" t="s">
        <v>10</v>
      </c>
      <c r="C17" s="44">
        <f>-SUM(C9,C10:C16)*'Fane 5. Individuelt eff. krav'!G9</f>
        <v>0</v>
      </c>
      <c r="D17" s="8" t="s">
        <v>3</v>
      </c>
      <c r="E17" s="1"/>
    </row>
    <row r="18" spans="1:5" ht="17.25" customHeight="1" x14ac:dyDescent="0.25">
      <c r="A18" s="1"/>
      <c r="B18" s="84" t="s">
        <v>24</v>
      </c>
      <c r="C18" s="44">
        <f>-'Fane 4.1. Gen. krav - drift'!G45</f>
        <v>-579383.85931325052</v>
      </c>
      <c r="D18" s="8" t="s">
        <v>3</v>
      </c>
      <c r="E18" s="1"/>
    </row>
    <row r="19" spans="1:5" ht="17.25" customHeight="1" x14ac:dyDescent="0.25">
      <c r="A19" s="1"/>
      <c r="B19" s="84" t="s">
        <v>25</v>
      </c>
      <c r="C19" s="44">
        <f>-'Fane 4.2. Gen. krav - anlæg'!G43</f>
        <v>-890990.04201161058</v>
      </c>
      <c r="D19" s="8" t="s">
        <v>3</v>
      </c>
      <c r="E19" s="48"/>
    </row>
    <row r="20" spans="1:5" ht="17.25" customHeight="1" x14ac:dyDescent="0.25">
      <c r="A20" s="1"/>
      <c r="B20" s="90" t="s">
        <v>21</v>
      </c>
      <c r="C20" s="10">
        <f>SUM(C9:C19)</f>
        <v>87925561.973726705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2544947.8858022401</v>
      </c>
      <c r="D22" s="11" t="s">
        <v>3</v>
      </c>
      <c r="E22" s="1"/>
    </row>
    <row r="23" spans="1:5" ht="15" customHeight="1" x14ac:dyDescent="0.25">
      <c r="A23" s="1"/>
      <c r="B23" s="32" t="s">
        <v>86</v>
      </c>
      <c r="C23" s="27"/>
      <c r="D23" s="19"/>
      <c r="E23" s="1"/>
    </row>
    <row r="24" spans="1:5" ht="15" customHeight="1" x14ac:dyDescent="0.25">
      <c r="A24" s="1"/>
      <c r="B24" s="90"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4" t="s">
        <v>231</v>
      </c>
      <c r="C26" s="75">
        <f>'Fane 11.2. Engangstillæg'!C14</f>
        <v>0</v>
      </c>
      <c r="D26" s="8" t="s">
        <v>3</v>
      </c>
      <c r="E26" s="1"/>
    </row>
    <row r="27" spans="1:5" ht="15" customHeight="1" x14ac:dyDescent="0.25">
      <c r="A27" s="1"/>
      <c r="B27" s="84" t="s">
        <v>82</v>
      </c>
      <c r="C27" s="75">
        <f>'Fane 11.2. Engangstillæg'!E14</f>
        <v>0</v>
      </c>
      <c r="D27" s="8" t="s">
        <v>3</v>
      </c>
      <c r="E27" s="1"/>
    </row>
    <row r="28" spans="1:5" ht="15" customHeight="1" x14ac:dyDescent="0.25">
      <c r="A28" s="1"/>
      <c r="B28" s="84" t="s">
        <v>238</v>
      </c>
      <c r="C28" s="75">
        <f>-C26*('Fane 15. Nøgletal'!C31+'Fane 5. Individuelt eff. krav'!G9)</f>
        <v>0</v>
      </c>
      <c r="D28" s="8" t="s">
        <v>3</v>
      </c>
      <c r="E28" s="1"/>
    </row>
    <row r="29" spans="1:5" ht="15" customHeight="1" x14ac:dyDescent="0.25">
      <c r="A29" s="1"/>
      <c r="B29" s="84" t="s">
        <v>239</v>
      </c>
      <c r="C29" s="75">
        <f>-C27*('Fane 15. Nøgletal'!C26+'Fane 5. Individuelt eff. krav'!G9)</f>
        <v>0</v>
      </c>
      <c r="D29" s="8" t="s">
        <v>3</v>
      </c>
      <c r="E29" s="1"/>
    </row>
    <row r="30" spans="1:5" ht="15" customHeight="1" x14ac:dyDescent="0.25">
      <c r="A30" s="1"/>
      <c r="B30" s="96"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7">
        <f>SUM(C34,C32,C24,C30,C22,C20,C36)</f>
        <v>90470509.859528944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row>
  </sheetData>
  <sheetProtection algorithmName="SHA-512" hashValue="MRBDP0Ee/mRHNBwKXGeJ2eWauGbQa9yM7NXUKGukvi4Z+tkLwcyewYgOQXdh9Y7jOqttoOOT32m2mTTZMdGMiQ==" saltValue="jtP3EckNs9la+iBpTw2TS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6" t="s">
        <v>261</v>
      </c>
      <c r="C3" s="136"/>
      <c r="D3" s="1"/>
    </row>
    <row r="4" spans="1:4" ht="25.5" customHeight="1" x14ac:dyDescent="0.25">
      <c r="A4" s="1"/>
      <c r="B4" s="136"/>
      <c r="C4" s="13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5" t="s">
        <v>112</v>
      </c>
      <c r="C9" s="24">
        <v>1.2699999999999999E-2</v>
      </c>
      <c r="D9" s="1"/>
    </row>
    <row r="10" spans="1:4" x14ac:dyDescent="0.25">
      <c r="A10" s="1"/>
      <c r="B10" s="95" t="s">
        <v>113</v>
      </c>
      <c r="C10" s="24">
        <v>1.7500000000000002E-2</v>
      </c>
      <c r="D10" s="1"/>
    </row>
    <row r="11" spans="1:4" x14ac:dyDescent="0.25">
      <c r="A11" s="1"/>
      <c r="B11" s="95"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5"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5" t="s">
        <v>114</v>
      </c>
      <c r="C20" s="22">
        <v>9.1000000000000004E-3</v>
      </c>
      <c r="D20" s="1"/>
    </row>
    <row r="21" spans="1:4" x14ac:dyDescent="0.25">
      <c r="A21" s="1"/>
      <c r="B21" s="95" t="s">
        <v>145</v>
      </c>
      <c r="C21" s="22">
        <v>1.77E-2</v>
      </c>
      <c r="D21" s="1"/>
    </row>
    <row r="22" spans="1:4" x14ac:dyDescent="0.25">
      <c r="A22" s="1"/>
      <c r="B22" s="95" t="s">
        <v>146</v>
      </c>
      <c r="C22" s="22">
        <v>8.6999999999999994E-3</v>
      </c>
      <c r="D22" s="1"/>
    </row>
    <row r="23" spans="1:4" x14ac:dyDescent="0.25">
      <c r="A23" s="1"/>
      <c r="B23" s="95" t="s">
        <v>115</v>
      </c>
      <c r="C23" s="35">
        <v>2.8400000000000002E-2</v>
      </c>
      <c r="D23" s="1"/>
    </row>
    <row r="24" spans="1:4" x14ac:dyDescent="0.25">
      <c r="A24" s="1"/>
      <c r="B24" s="95" t="s">
        <v>147</v>
      </c>
      <c r="C24" s="35">
        <v>2.75E-2</v>
      </c>
      <c r="D24" s="1"/>
    </row>
    <row r="25" spans="1:4" x14ac:dyDescent="0.25">
      <c r="A25" s="1"/>
      <c r="B25" s="95"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5"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l7QhvBI1TRfZQAcZDD9xw0vBG2BSisX4TbQMlLf8/rkknnP8Zw0km7HbgtaujCqRy6D6G2wGPLinEZNfq0AjaA==" saltValue="gbOCFMAJTiAuV4aO8g4mT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186</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87925561.973726705</v>
      </c>
      <c r="D9" s="8" t="s">
        <v>3</v>
      </c>
      <c r="E9" s="1"/>
    </row>
    <row r="10" spans="1:5" ht="15" customHeight="1" x14ac:dyDescent="0.25">
      <c r="A10" s="1"/>
      <c r="B10" s="25" t="s">
        <v>19</v>
      </c>
      <c r="C10" s="7">
        <f>SUM(C9:C9)*'Fane 15. Nøgletal'!C15</f>
        <v>3130150.0062646708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-588009.72621070629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90467702.253780663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2635548.0305368002</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93103250.284317464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row>
  </sheetData>
  <sheetProtection algorithmName="SHA-512" hashValue="8f43iBewzhah+iehtCCZfc3YmP7FQPy5xr84ODxCvA2JtfUTJaYwC8FvT6rA37KU5pqBmPX8VbbhySi8tswHNw==" saltValue="aeEE2CrjHO6j8McUKrXNJ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187</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2"/>
      <c r="C6" s="82"/>
      <c r="D6" s="82"/>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90467702.253780663</v>
      </c>
      <c r="D9" s="8" t="s">
        <v>3</v>
      </c>
      <c r="E9" s="1"/>
    </row>
    <row r="10" spans="1:5" ht="15" customHeight="1" x14ac:dyDescent="0.25">
      <c r="A10" s="1"/>
      <c r="B10" s="25" t="s">
        <v>19</v>
      </c>
      <c r="C10" s="7">
        <f>SUM(C9:C9)*'Fane 15. Nøgletal'!C15</f>
        <v>3220650.2002345915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-596764.01501453144</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93091588.439000726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2729373.5404239101</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95820961.979424641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row>
  </sheetData>
  <sheetProtection algorithmName="SHA-512" hashValue="QY1luOSByTl8l9a1S86N9xu3ltfiFqXTf0zPAscdIwOhSz2FqKdny4NwfpqSzcEGld1qA++eSjMrRHSKD8hgYA==" saltValue="bodt/1pmzUa9DdDng4Y0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188</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2"/>
      <c r="C6" s="82"/>
      <c r="D6" s="82"/>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93091588.439000726</v>
      </c>
      <c r="D9" s="8" t="s">
        <v>3</v>
      </c>
      <c r="E9" s="1"/>
    </row>
    <row r="10" spans="1:5" ht="15" customHeight="1" x14ac:dyDescent="0.25">
      <c r="A10" s="1"/>
      <c r="B10" s="25" t="s">
        <v>19</v>
      </c>
      <c r="C10" s="7">
        <f>SUM(C9:C9)*'Fane 15. Nøgletal'!C15</f>
        <v>3314060.548428426</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-605648.63767006784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95800000.349759087</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2826539.2384630018</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190</v>
      </c>
      <c r="C23" s="12">
        <f>SUM(C14,C16,C18,C20,C22)</f>
        <v>98626539.588222086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C9mFcqXw/ILKSD28BLspn8Ud19xvfv8/8BKoWQLL66hrRnKzM1cDP7LE1ByopC65SaclEVXsVce0EsMtivNfw==" saltValue="VoWiWae7AWD2e/RJPF0jI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191</v>
      </c>
      <c r="C3" s="136"/>
      <c r="D3" s="136"/>
      <c r="E3" s="136"/>
      <c r="F3" s="136"/>
      <c r="G3" s="1"/>
    </row>
    <row r="4" spans="1:7" ht="29.2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1" t="s">
        <v>192</v>
      </c>
      <c r="C9" s="132"/>
      <c r="D9" s="133"/>
      <c r="E9" s="7">
        <v>89647822.263631597</v>
      </c>
      <c r="F9" s="8" t="s">
        <v>3</v>
      </c>
      <c r="G9" s="1"/>
    </row>
    <row r="10" spans="1:7" ht="15" customHeight="1" x14ac:dyDescent="0.25">
      <c r="A10" s="1"/>
      <c r="B10" s="122" t="s">
        <v>39</v>
      </c>
      <c r="C10" s="123"/>
      <c r="D10" s="124"/>
      <c r="E10" s="7">
        <v>0</v>
      </c>
      <c r="F10" s="8" t="s">
        <v>3</v>
      </c>
      <c r="G10" s="1"/>
    </row>
    <row r="11" spans="1:7" ht="15" customHeight="1" x14ac:dyDescent="0.25">
      <c r="A11" s="1"/>
      <c r="B11" s="122" t="s">
        <v>40</v>
      </c>
      <c r="C11" s="123"/>
      <c r="D11" s="124"/>
      <c r="E11" s="9">
        <v>0</v>
      </c>
      <c r="F11" s="8" t="s">
        <v>3</v>
      </c>
      <c r="G11" s="1"/>
    </row>
    <row r="12" spans="1:7" ht="15" customHeight="1" x14ac:dyDescent="0.25">
      <c r="A12" s="1"/>
      <c r="B12" s="122" t="s">
        <v>27</v>
      </c>
      <c r="C12" s="123"/>
      <c r="D12" s="124"/>
      <c r="E12" s="9">
        <v>0</v>
      </c>
      <c r="F12" s="8" t="s">
        <v>3</v>
      </c>
      <c r="G12" s="1"/>
    </row>
    <row r="13" spans="1:7" ht="15" customHeight="1" x14ac:dyDescent="0.25">
      <c r="A13" s="1"/>
      <c r="B13" s="131" t="s">
        <v>26</v>
      </c>
      <c r="C13" s="132"/>
      <c r="D13" s="133"/>
      <c r="E13" s="9">
        <v>0</v>
      </c>
      <c r="F13" s="8" t="s">
        <v>3</v>
      </c>
      <c r="G13" s="1"/>
    </row>
    <row r="14" spans="1:7" ht="15" customHeight="1" x14ac:dyDescent="0.25">
      <c r="A14" s="1"/>
      <c r="B14" s="131" t="s">
        <v>29</v>
      </c>
      <c r="C14" s="132"/>
      <c r="D14" s="133"/>
      <c r="E14" s="9">
        <v>0</v>
      </c>
      <c r="F14" s="8" t="s">
        <v>3</v>
      </c>
      <c r="G14" s="1"/>
    </row>
    <row r="15" spans="1:7" ht="15" customHeight="1" x14ac:dyDescent="0.25">
      <c r="A15" s="1"/>
      <c r="B15" s="131" t="s">
        <v>28</v>
      </c>
      <c r="C15" s="132"/>
      <c r="D15" s="133"/>
      <c r="E15" s="9">
        <v>0</v>
      </c>
      <c r="F15" s="8" t="s">
        <v>3</v>
      </c>
      <c r="G15" s="1"/>
    </row>
    <row r="16" spans="1:7" ht="15" customHeight="1" x14ac:dyDescent="0.25">
      <c r="A16" s="1"/>
      <c r="B16" s="131" t="s">
        <v>19</v>
      </c>
      <c r="C16" s="132"/>
      <c r="D16" s="133"/>
      <c r="E16" s="9">
        <f>SUM(E9:E15)*'Fane 15. Nøgletal'!C14</f>
        <v>295837.81346998428</v>
      </c>
      <c r="F16" s="8" t="s">
        <v>3</v>
      </c>
      <c r="G16" s="1"/>
    </row>
    <row r="17" spans="1:7" ht="15" customHeight="1" x14ac:dyDescent="0.25">
      <c r="A17" s="1"/>
      <c r="B17" s="131" t="s">
        <v>10</v>
      </c>
      <c r="C17" s="132"/>
      <c r="D17" s="133"/>
      <c r="E17" s="9">
        <v>0</v>
      </c>
      <c r="F17" s="8" t="s">
        <v>3</v>
      </c>
      <c r="G17" s="1"/>
    </row>
    <row r="18" spans="1:7" ht="15" customHeight="1" x14ac:dyDescent="0.25">
      <c r="A18" s="1"/>
      <c r="B18" s="131" t="s">
        <v>24</v>
      </c>
      <c r="C18" s="132"/>
      <c r="D18" s="133"/>
      <c r="E18" s="9">
        <f>-'Fane 4.1. Gen. krav - drift'!G39</f>
        <v>-589263.45032133814</v>
      </c>
      <c r="F18" s="8" t="s">
        <v>3</v>
      </c>
      <c r="G18" s="1"/>
    </row>
    <row r="19" spans="1:7" ht="15" customHeight="1" x14ac:dyDescent="0.25">
      <c r="A19" s="1"/>
      <c r="B19" s="131" t="s">
        <v>25</v>
      </c>
      <c r="C19" s="132"/>
      <c r="D19" s="133"/>
      <c r="E19" s="9">
        <f>-'Fane 4.2. Gen. krav - anlæg'!G37</f>
        <v>-901400.16833164566</v>
      </c>
      <c r="F19" s="8" t="s">
        <v>3</v>
      </c>
      <c r="G19" s="1"/>
    </row>
    <row r="20" spans="1:7" ht="15" customHeight="1" x14ac:dyDescent="0.25">
      <c r="A20" s="1"/>
      <c r="B20" s="54" t="s">
        <v>21</v>
      </c>
      <c r="C20" s="91"/>
      <c r="D20" s="97"/>
      <c r="E20" s="51">
        <f>SUM(E9:E19)</f>
        <v>88452996.458448604</v>
      </c>
      <c r="F20" s="53" t="s">
        <v>3</v>
      </c>
      <c r="G20" s="1"/>
    </row>
    <row r="21" spans="1:7" ht="15" customHeight="1" x14ac:dyDescent="0.25">
      <c r="A21" s="1"/>
      <c r="B21" s="32" t="s">
        <v>12</v>
      </c>
      <c r="C21" s="27"/>
      <c r="D21" s="27"/>
      <c r="E21" s="27"/>
      <c r="F21" s="19"/>
      <c r="G21" s="1"/>
    </row>
    <row r="22" spans="1:7" ht="15" customHeight="1" x14ac:dyDescent="0.25">
      <c r="A22" s="1"/>
      <c r="B22" s="125" t="s">
        <v>12</v>
      </c>
      <c r="C22" s="126"/>
      <c r="D22" s="127"/>
      <c r="E22" s="10">
        <v>2252040.2136525004</v>
      </c>
      <c r="F22" s="11" t="s">
        <v>3</v>
      </c>
      <c r="G22" s="1"/>
    </row>
    <row r="23" spans="1:7" ht="15" customHeight="1" x14ac:dyDescent="0.25">
      <c r="A23" s="1"/>
      <c r="B23" s="128" t="s">
        <v>86</v>
      </c>
      <c r="C23" s="129"/>
      <c r="D23" s="130"/>
      <c r="E23" s="27"/>
      <c r="F23" s="27"/>
      <c r="G23" s="1"/>
    </row>
    <row r="24" spans="1:7" ht="15" customHeight="1" x14ac:dyDescent="0.25">
      <c r="A24" s="1"/>
      <c r="B24" s="90"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2" t="s">
        <v>81</v>
      </c>
      <c r="C26" s="123"/>
      <c r="D26" s="124"/>
      <c r="E26" s="9">
        <v>0</v>
      </c>
      <c r="F26" s="8" t="s">
        <v>3</v>
      </c>
      <c r="G26" s="1"/>
    </row>
    <row r="27" spans="1:7" ht="15" customHeight="1" x14ac:dyDescent="0.25">
      <c r="A27" s="1"/>
      <c r="B27" s="122" t="s">
        <v>82</v>
      </c>
      <c r="C27" s="123"/>
      <c r="D27" s="123"/>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5" t="s">
        <v>142</v>
      </c>
      <c r="C30" s="126"/>
      <c r="D30" s="126"/>
      <c r="E30" s="39">
        <v>0</v>
      </c>
      <c r="F30" s="11" t="s">
        <v>3</v>
      </c>
      <c r="G30" s="1"/>
    </row>
    <row r="31" spans="1:7" x14ac:dyDescent="0.25">
      <c r="A31" s="1"/>
      <c r="B31" s="32" t="s">
        <v>123</v>
      </c>
      <c r="C31" s="27"/>
      <c r="D31" s="27"/>
      <c r="E31" s="27"/>
      <c r="F31" s="27"/>
      <c r="G31" s="1"/>
    </row>
    <row r="32" spans="1:7" ht="15.4" customHeight="1" x14ac:dyDescent="0.25">
      <c r="A32" s="1"/>
      <c r="B32" s="125" t="s">
        <v>123</v>
      </c>
      <c r="C32" s="126"/>
      <c r="D32" s="127"/>
      <c r="E32" s="10">
        <v>0</v>
      </c>
      <c r="F32" s="11" t="s">
        <v>3</v>
      </c>
      <c r="G32" s="1"/>
    </row>
    <row r="33" spans="1:7" ht="15.4" customHeight="1" x14ac:dyDescent="0.25">
      <c r="A33" s="1"/>
      <c r="B33" s="128" t="s">
        <v>175</v>
      </c>
      <c r="C33" s="129"/>
      <c r="D33" s="129"/>
      <c r="E33" s="129"/>
      <c r="F33" s="130"/>
      <c r="G33" s="1"/>
    </row>
    <row r="34" spans="1:7" ht="15.4" customHeight="1" x14ac:dyDescent="0.25">
      <c r="A34" s="1"/>
      <c r="B34" s="96" t="s">
        <v>176</v>
      </c>
      <c r="C34" s="10"/>
      <c r="D34" s="11"/>
      <c r="E34" s="10">
        <f>'Fane 8. Skattesagen'!G11</f>
        <v>0</v>
      </c>
      <c r="F34" s="11" t="s">
        <v>3</v>
      </c>
      <c r="G34" s="1"/>
    </row>
    <row r="35" spans="1:7" x14ac:dyDescent="0.25">
      <c r="A35" s="1"/>
      <c r="B35" s="55" t="s">
        <v>218</v>
      </c>
      <c r="C35" s="56"/>
      <c r="D35" s="19"/>
      <c r="E35" s="45">
        <f>SUM(E32,E30,E28,E24,E22,E20,E34)</f>
        <v>90705036.67210111</v>
      </c>
      <c r="F35" s="52" t="s">
        <v>3</v>
      </c>
      <c r="G35" s="1"/>
    </row>
    <row r="36" spans="1:7" ht="27" customHeight="1" x14ac:dyDescent="0.25">
      <c r="A36" s="1"/>
      <c r="B36" s="131" t="s">
        <v>222</v>
      </c>
      <c r="C36" s="132"/>
      <c r="D36" s="132"/>
      <c r="E36" s="132"/>
      <c r="F36" s="13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GFcUtZksmRVgxsCgiuLwyawTKaBHXq5GUcT3Vj7LK5cBzAZbrr/kwpewo7yPDXMVC4p7MBnm79/rapsAQ+OZnA==" saltValue="+GyaQAmgnnMVM/davBA1i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6" t="s">
        <v>109</v>
      </c>
      <c r="C2" s="136"/>
      <c r="D2" s="136"/>
      <c r="E2" s="136"/>
      <c r="F2" s="136"/>
      <c r="G2" s="136"/>
      <c r="H2" s="136"/>
      <c r="I2" s="1"/>
    </row>
    <row r="3" spans="1:9" ht="28.5" customHeight="1" x14ac:dyDescent="0.25">
      <c r="A3" s="1"/>
      <c r="B3" s="136"/>
      <c r="C3" s="136"/>
      <c r="D3" s="136"/>
      <c r="E3" s="136"/>
      <c r="F3" s="136"/>
      <c r="G3" s="136"/>
      <c r="H3" s="136"/>
      <c r="I3" s="1"/>
    </row>
    <row r="4" spans="1:9" x14ac:dyDescent="0.25">
      <c r="A4" s="1"/>
      <c r="B4" s="128" t="s">
        <v>52</v>
      </c>
      <c r="C4" s="129"/>
      <c r="D4" s="129"/>
      <c r="E4" s="129"/>
      <c r="F4" s="129"/>
      <c r="G4" s="129"/>
      <c r="H4" s="130"/>
      <c r="I4" s="1"/>
    </row>
    <row r="5" spans="1:9" x14ac:dyDescent="0.25">
      <c r="A5" s="1"/>
      <c r="B5" s="138" t="s">
        <v>41</v>
      </c>
      <c r="C5" s="139"/>
      <c r="D5" s="139"/>
      <c r="E5" s="139"/>
      <c r="F5" s="140"/>
      <c r="G5" s="81">
        <v>30178986</v>
      </c>
      <c r="H5" s="14" t="s">
        <v>3</v>
      </c>
      <c r="I5" s="1"/>
    </row>
    <row r="6" spans="1:9" x14ac:dyDescent="0.25">
      <c r="A6" s="1"/>
      <c r="B6" s="131" t="s">
        <v>120</v>
      </c>
      <c r="C6" s="132"/>
      <c r="D6" s="132"/>
      <c r="E6" s="132"/>
      <c r="F6" s="133"/>
      <c r="G6" s="77">
        <v>0</v>
      </c>
      <c r="H6" s="14" t="s">
        <v>3</v>
      </c>
      <c r="I6" s="1"/>
    </row>
    <row r="7" spans="1:9" x14ac:dyDescent="0.25">
      <c r="A7" s="1"/>
      <c r="B7" s="138" t="s">
        <v>42</v>
      </c>
      <c r="C7" s="139"/>
      <c r="D7" s="139"/>
      <c r="E7" s="139"/>
      <c r="F7" s="140"/>
      <c r="G7" s="76">
        <f>SUM(G5:G6)*'Fane 15. Nøgletal'!C31</f>
        <v>603579.72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8" t="s">
        <v>53</v>
      </c>
      <c r="C10" s="129"/>
      <c r="D10" s="129"/>
      <c r="E10" s="129"/>
      <c r="F10" s="129"/>
      <c r="G10" s="137"/>
      <c r="H10" s="130"/>
      <c r="I10" s="1"/>
    </row>
    <row r="11" spans="1:9" x14ac:dyDescent="0.25">
      <c r="A11" s="1"/>
      <c r="B11" s="138" t="s">
        <v>43</v>
      </c>
      <c r="C11" s="139"/>
      <c r="D11" s="139"/>
      <c r="E11" s="139"/>
      <c r="F11" s="140"/>
      <c r="G11" s="76">
        <f>(G5-G7)*(1+'Fane 15. Nøgletal'!C10)</f>
        <v>30092975.889900003</v>
      </c>
      <c r="H11" s="14" t="s">
        <v>3</v>
      </c>
      <c r="I11" s="1"/>
    </row>
    <row r="12" spans="1:9" ht="15" customHeight="1" x14ac:dyDescent="0.25">
      <c r="A12" s="1"/>
      <c r="B12" s="138" t="s">
        <v>121</v>
      </c>
      <c r="C12" s="139"/>
      <c r="D12" s="139"/>
      <c r="E12" s="139"/>
      <c r="F12" s="140"/>
      <c r="G12" s="77">
        <v>0</v>
      </c>
      <c r="H12" s="14" t="s">
        <v>3</v>
      </c>
      <c r="I12" s="1"/>
    </row>
    <row r="13" spans="1:9" x14ac:dyDescent="0.25">
      <c r="A13" s="1"/>
      <c r="B13" s="131" t="s">
        <v>118</v>
      </c>
      <c r="C13" s="132"/>
      <c r="D13" s="132"/>
      <c r="E13" s="132"/>
      <c r="F13" s="133"/>
      <c r="G13" s="77">
        <v>0</v>
      </c>
      <c r="H13" s="14" t="s">
        <v>3</v>
      </c>
      <c r="I13" s="1"/>
    </row>
    <row r="14" spans="1:9" x14ac:dyDescent="0.25">
      <c r="A14" s="1"/>
      <c r="B14" s="141" t="s">
        <v>44</v>
      </c>
      <c r="C14" s="142"/>
      <c r="D14" s="142"/>
      <c r="E14" s="142"/>
      <c r="F14" s="143"/>
      <c r="G14" s="77">
        <v>0</v>
      </c>
      <c r="H14" s="14" t="s">
        <v>3</v>
      </c>
      <c r="I14" s="1"/>
    </row>
    <row r="15" spans="1:9" x14ac:dyDescent="0.25">
      <c r="A15" s="1"/>
      <c r="B15" s="138" t="s">
        <v>45</v>
      </c>
      <c r="C15" s="139"/>
      <c r="D15" s="139"/>
      <c r="E15" s="139"/>
      <c r="F15" s="140"/>
      <c r="G15" s="76">
        <f>SUM(G11:G14)*'Fane 15. Nøgletal'!C31</f>
        <v>601859.51779800002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8" t="s">
        <v>54</v>
      </c>
      <c r="C18" s="129"/>
      <c r="D18" s="129"/>
      <c r="E18" s="129"/>
      <c r="F18" s="129"/>
      <c r="G18" s="137"/>
      <c r="H18" s="130"/>
      <c r="I18" s="1"/>
    </row>
    <row r="19" spans="1:9" x14ac:dyDescent="0.25">
      <c r="A19" s="1"/>
      <c r="B19" s="138" t="s">
        <v>46</v>
      </c>
      <c r="C19" s="139"/>
      <c r="D19" s="139"/>
      <c r="E19" s="139"/>
      <c r="F19" s="140"/>
      <c r="G19" s="76">
        <f>(SUM(G11:G12,G14)-(G15))*(1+'Fane 15. Nøgletal'!C10)</f>
        <v>30007210.90861379</v>
      </c>
      <c r="H19" s="14" t="s">
        <v>3</v>
      </c>
      <c r="I19" s="1"/>
    </row>
    <row r="20" spans="1:9" x14ac:dyDescent="0.25">
      <c r="A20" s="1"/>
      <c r="B20" s="141" t="s">
        <v>47</v>
      </c>
      <c r="C20" s="142"/>
      <c r="D20" s="142"/>
      <c r="E20" s="142"/>
      <c r="F20" s="143"/>
      <c r="G20" s="77">
        <v>0</v>
      </c>
      <c r="H20" s="14" t="s">
        <v>3</v>
      </c>
      <c r="I20" s="1"/>
    </row>
    <row r="21" spans="1:9" x14ac:dyDescent="0.25">
      <c r="A21" s="1"/>
      <c r="B21" s="138" t="s">
        <v>48</v>
      </c>
      <c r="C21" s="139"/>
      <c r="D21" s="139"/>
      <c r="E21" s="139"/>
      <c r="F21" s="140"/>
      <c r="G21" s="76">
        <f>SUM(G19:G20)*'Fane 15. Nøgletal'!C31</f>
        <v>600144.21817227581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8" t="s">
        <v>55</v>
      </c>
      <c r="C24" s="129"/>
      <c r="D24" s="129"/>
      <c r="E24" s="129"/>
      <c r="F24" s="129"/>
      <c r="G24" s="137"/>
      <c r="H24" s="130"/>
      <c r="I24" s="1"/>
    </row>
    <row r="25" spans="1:9" x14ac:dyDescent="0.25">
      <c r="A25" s="1"/>
      <c r="B25" s="138" t="s">
        <v>49</v>
      </c>
      <c r="C25" s="139"/>
      <c r="D25" s="139"/>
      <c r="E25" s="139"/>
      <c r="F25" s="140"/>
      <c r="G25" s="76">
        <f>(G19+G20-G21)*(1+'Fane 15. Nøgletal'!C12)</f>
        <v>29986385.904243216</v>
      </c>
      <c r="H25" s="14" t="s">
        <v>3</v>
      </c>
      <c r="I25" s="1"/>
    </row>
    <row r="26" spans="1:9" x14ac:dyDescent="0.25">
      <c r="A26" s="1"/>
      <c r="B26" s="141" t="s">
        <v>50</v>
      </c>
      <c r="C26" s="142"/>
      <c r="D26" s="142"/>
      <c r="E26" s="142"/>
      <c r="F26" s="143"/>
      <c r="G26" s="77">
        <v>0</v>
      </c>
      <c r="H26" s="14" t="s">
        <v>3</v>
      </c>
      <c r="I26" s="1"/>
    </row>
    <row r="27" spans="1:9" x14ac:dyDescent="0.25">
      <c r="A27" s="1"/>
      <c r="B27" s="138" t="s">
        <v>51</v>
      </c>
      <c r="C27" s="139"/>
      <c r="D27" s="139"/>
      <c r="E27" s="139"/>
      <c r="F27" s="140"/>
      <c r="G27" s="76">
        <f>(G25+G26)*'Fane 15. Nøgletal'!C31</f>
        <v>599727.71808486432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8" t="s">
        <v>58</v>
      </c>
      <c r="C30" s="129"/>
      <c r="D30" s="129"/>
      <c r="E30" s="129"/>
      <c r="F30" s="129"/>
      <c r="G30" s="137"/>
      <c r="H30" s="130"/>
      <c r="I30" s="1"/>
    </row>
    <row r="31" spans="1:9" x14ac:dyDescent="0.25">
      <c r="A31" s="1"/>
      <c r="B31" s="138" t="s">
        <v>59</v>
      </c>
      <c r="C31" s="139"/>
      <c r="D31" s="139"/>
      <c r="E31" s="139"/>
      <c r="F31" s="140"/>
      <c r="G31" s="76">
        <f>(G25+G26-G27)*(1+'Fane 15. Nøgletal'!C12)</f>
        <v>29965575.352425672</v>
      </c>
      <c r="H31" s="14" t="s">
        <v>3</v>
      </c>
      <c r="I31" s="1"/>
    </row>
    <row r="32" spans="1:9" x14ac:dyDescent="0.25">
      <c r="A32" s="1"/>
      <c r="B32" s="138" t="s">
        <v>137</v>
      </c>
      <c r="C32" s="139"/>
      <c r="D32" s="139"/>
      <c r="E32" s="139"/>
      <c r="F32" s="140"/>
      <c r="G32" s="76">
        <v>0</v>
      </c>
      <c r="H32" s="14" t="s">
        <v>3</v>
      </c>
      <c r="I32" s="1"/>
    </row>
    <row r="33" spans="1:9" x14ac:dyDescent="0.25">
      <c r="A33" s="1"/>
      <c r="B33" s="138" t="s">
        <v>60</v>
      </c>
      <c r="C33" s="139"/>
      <c r="D33" s="139"/>
      <c r="E33" s="139"/>
      <c r="F33" s="140"/>
      <c r="G33" s="76">
        <f>(G31+G32)*'Fane 15. Nøgletal'!C31</f>
        <v>599311.50704851351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8" t="s">
        <v>160</v>
      </c>
      <c r="C36" s="129"/>
      <c r="D36" s="129"/>
      <c r="E36" s="129"/>
      <c r="F36" s="129"/>
      <c r="G36" s="137"/>
      <c r="H36" s="130"/>
      <c r="I36" s="1"/>
    </row>
    <row r="37" spans="1:9" x14ac:dyDescent="0.25">
      <c r="A37" s="1"/>
      <c r="B37" s="138" t="s">
        <v>79</v>
      </c>
      <c r="C37" s="139"/>
      <c r="D37" s="139"/>
      <c r="E37" s="139"/>
      <c r="F37" s="140"/>
      <c r="G37" s="76">
        <f>(G31+G32-G33)*(1+'Fane 15. Nøgletal'!C14)</f>
        <v>29463172.516066905</v>
      </c>
      <c r="H37" s="14" t="s">
        <v>3</v>
      </c>
      <c r="I37" s="1"/>
    </row>
    <row r="38" spans="1:9" x14ac:dyDescent="0.25">
      <c r="A38" s="1"/>
      <c r="B38" s="138" t="s">
        <v>164</v>
      </c>
      <c r="C38" s="139"/>
      <c r="D38" s="139"/>
      <c r="E38" s="139"/>
      <c r="F38" s="140"/>
      <c r="G38" s="76">
        <v>0</v>
      </c>
      <c r="H38" s="14" t="s">
        <v>3</v>
      </c>
      <c r="I38" s="1"/>
    </row>
    <row r="39" spans="1:9" x14ac:dyDescent="0.25">
      <c r="A39" s="1"/>
      <c r="B39" s="138" t="s">
        <v>162</v>
      </c>
      <c r="C39" s="139"/>
      <c r="D39" s="139"/>
      <c r="E39" s="139"/>
      <c r="F39" s="140"/>
      <c r="G39" s="76">
        <f>(G37+G38)*'Fane 15. Nøgletal'!C31</f>
        <v>589263.45032133814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8" t="s">
        <v>161</v>
      </c>
      <c r="C42" s="129"/>
      <c r="D42" s="129"/>
      <c r="E42" s="129"/>
      <c r="F42" s="129"/>
      <c r="G42" s="137"/>
      <c r="H42" s="130"/>
      <c r="I42" s="1"/>
    </row>
    <row r="43" spans="1:9" x14ac:dyDescent="0.25">
      <c r="A43" s="1"/>
      <c r="B43" s="138" t="s">
        <v>228</v>
      </c>
      <c r="C43" s="139"/>
      <c r="D43" s="139"/>
      <c r="E43" s="139"/>
      <c r="F43" s="140"/>
      <c r="G43" s="76">
        <f>(G37+G38-G39)*(1+'Fane 15. Nøgletal'!C14)</f>
        <v>28969192.965662528</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0</v>
      </c>
      <c r="H44" s="14" t="s">
        <v>3</v>
      </c>
      <c r="I44" s="1"/>
    </row>
    <row r="45" spans="1:9" x14ac:dyDescent="0.25">
      <c r="A45" s="1"/>
      <c r="B45" s="138" t="s">
        <v>163</v>
      </c>
      <c r="C45" s="139"/>
      <c r="D45" s="139"/>
      <c r="E45" s="139"/>
      <c r="F45" s="140"/>
      <c r="G45" s="76">
        <f>SUM(G43:G44)*'Fane 15. Nøgletal'!C31</f>
        <v>579383.85931325052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8" t="s">
        <v>241</v>
      </c>
      <c r="C51" s="129"/>
      <c r="D51" s="129"/>
      <c r="E51" s="129"/>
      <c r="F51" s="129"/>
      <c r="G51" s="137"/>
      <c r="H51" s="130"/>
      <c r="I51" s="1"/>
    </row>
    <row r="52" spans="1:9" x14ac:dyDescent="0.25">
      <c r="A52" s="1"/>
      <c r="B52" s="138" t="s">
        <v>227</v>
      </c>
      <c r="C52" s="139"/>
      <c r="D52" s="139"/>
      <c r="E52" s="139"/>
      <c r="F52" s="140"/>
      <c r="G52" s="76">
        <f>(G43+G44-G45)*(1+'Fane 15. Nøgletal'!C15)</f>
        <v>29400486.310535315</v>
      </c>
      <c r="H52" s="14" t="s">
        <v>3</v>
      </c>
      <c r="I52" s="1"/>
    </row>
    <row r="53" spans="1:9" x14ac:dyDescent="0.25">
      <c r="A53" s="1"/>
      <c r="B53" s="138" t="s">
        <v>138</v>
      </c>
      <c r="C53" s="139"/>
      <c r="D53" s="139"/>
      <c r="E53" s="139"/>
      <c r="F53" s="140"/>
      <c r="G53" s="76">
        <f>(G52)*'Fane 15. Nøgletal'!C31</f>
        <v>588009.72621070629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8" t="s">
        <v>150</v>
      </c>
      <c r="C56" s="129"/>
      <c r="D56" s="129"/>
      <c r="E56" s="129"/>
      <c r="F56" s="129"/>
      <c r="G56" s="137"/>
      <c r="H56" s="130"/>
      <c r="I56" s="1"/>
    </row>
    <row r="57" spans="1:9" x14ac:dyDescent="0.25">
      <c r="A57" s="1"/>
      <c r="B57" s="92" t="s">
        <v>151</v>
      </c>
      <c r="C57" s="93"/>
      <c r="D57" s="93"/>
      <c r="E57" s="93"/>
      <c r="F57" s="94"/>
      <c r="G57" s="76">
        <f>(G52-G53)*(1+'Fane 15. Nøgletal'!C15)</f>
        <v>29838200.750726569</v>
      </c>
      <c r="H57" s="14" t="s">
        <v>3</v>
      </c>
      <c r="I57" s="1"/>
    </row>
    <row r="58" spans="1:9" x14ac:dyDescent="0.25">
      <c r="A58" s="1"/>
      <c r="B58" s="92" t="s">
        <v>152</v>
      </c>
      <c r="C58" s="93"/>
      <c r="D58" s="93"/>
      <c r="E58" s="93"/>
      <c r="F58" s="94"/>
      <c r="G58" s="76">
        <f>(G57)*'Fane 15. Nøgletal'!C31</f>
        <v>596764.01501453144</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8" t="s">
        <v>193</v>
      </c>
      <c r="C61" s="129"/>
      <c r="D61" s="129"/>
      <c r="E61" s="129"/>
      <c r="F61" s="129"/>
      <c r="G61" s="137"/>
      <c r="H61" s="130"/>
      <c r="I61" s="1"/>
    </row>
    <row r="62" spans="1:9" x14ac:dyDescent="0.25">
      <c r="A62" s="1"/>
      <c r="B62" s="92" t="s">
        <v>194</v>
      </c>
      <c r="C62" s="93"/>
      <c r="D62" s="93"/>
      <c r="E62" s="93"/>
      <c r="F62" s="94"/>
      <c r="G62" s="76">
        <f>(G57-G58)*(1+'Fane 15. Nøgletal'!C15)</f>
        <v>30282431.883503389</v>
      </c>
      <c r="H62" s="14" t="s">
        <v>3</v>
      </c>
      <c r="I62" s="1"/>
    </row>
    <row r="63" spans="1:9" x14ac:dyDescent="0.25">
      <c r="A63" s="1"/>
      <c r="B63" s="92" t="s">
        <v>195</v>
      </c>
      <c r="C63" s="93"/>
      <c r="D63" s="93"/>
      <c r="E63" s="93"/>
      <c r="F63" s="94"/>
      <c r="G63" s="76">
        <f>(G62)*'Fane 15. Nøgletal'!C31</f>
        <v>605648.63767006784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T0y3orlflvEzinD3FHeUXuwKh1ivHbSasJvGz6v9oClVN8l5Mf5I+fzE3vQqmOyzwHnsJ5j9r8Cz8piR8tse2g==" saltValue="FVhehKhvrQAwUxe9Yz476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7" t="s">
        <v>110</v>
      </c>
      <c r="C1" s="147"/>
      <c r="D1" s="147"/>
      <c r="E1" s="147"/>
      <c r="F1" s="147"/>
      <c r="G1" s="147"/>
      <c r="H1" s="147"/>
      <c r="I1" s="1"/>
    </row>
    <row r="2" spans="1:9" ht="15" customHeight="1" x14ac:dyDescent="0.25">
      <c r="A2" s="1"/>
      <c r="B2" s="147"/>
      <c r="C2" s="147"/>
      <c r="D2" s="147"/>
      <c r="E2" s="147"/>
      <c r="F2" s="147"/>
      <c r="G2" s="147"/>
      <c r="H2" s="147"/>
      <c r="I2" s="1"/>
    </row>
    <row r="3" spans="1:9" ht="15" customHeight="1" x14ac:dyDescent="0.25">
      <c r="A3" s="1"/>
      <c r="B3" s="148"/>
      <c r="C3" s="148"/>
      <c r="D3" s="148"/>
      <c r="E3" s="148"/>
      <c r="F3" s="148"/>
      <c r="G3" s="148"/>
      <c r="H3" s="148"/>
      <c r="I3" s="1"/>
    </row>
    <row r="4" spans="1:9" x14ac:dyDescent="0.25">
      <c r="A4" s="1"/>
      <c r="B4" s="128" t="s">
        <v>56</v>
      </c>
      <c r="C4" s="129"/>
      <c r="D4" s="129"/>
      <c r="E4" s="129"/>
      <c r="F4" s="129"/>
      <c r="G4" s="129"/>
      <c r="H4" s="130"/>
      <c r="I4" s="1"/>
    </row>
    <row r="5" spans="1:9" x14ac:dyDescent="0.25">
      <c r="A5" s="1"/>
      <c r="B5" s="138" t="s">
        <v>61</v>
      </c>
      <c r="C5" s="139"/>
      <c r="D5" s="139"/>
      <c r="E5" s="139"/>
      <c r="F5" s="140"/>
      <c r="G5" s="81">
        <v>61155676</v>
      </c>
      <c r="H5" s="14" t="s">
        <v>3</v>
      </c>
      <c r="I5" s="1"/>
    </row>
    <row r="6" spans="1:9" x14ac:dyDescent="0.25">
      <c r="A6" s="1"/>
      <c r="B6" s="138" t="s">
        <v>57</v>
      </c>
      <c r="C6" s="139"/>
      <c r="D6" s="139"/>
      <c r="E6" s="139"/>
      <c r="F6" s="140"/>
      <c r="G6" s="76">
        <f>G5*'Fane 15. Nøgletal'!C20</f>
        <v>556516.65159999998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8" t="s">
        <v>62</v>
      </c>
      <c r="C9" s="129"/>
      <c r="D9" s="129"/>
      <c r="E9" s="129"/>
      <c r="F9" s="129"/>
      <c r="G9" s="137"/>
      <c r="H9" s="130"/>
      <c r="I9" s="1"/>
    </row>
    <row r="10" spans="1:9" x14ac:dyDescent="0.25">
      <c r="A10" s="1"/>
      <c r="B10" s="138" t="s">
        <v>63</v>
      </c>
      <c r="C10" s="139"/>
      <c r="D10" s="139"/>
      <c r="E10" s="139"/>
      <c r="F10" s="140"/>
      <c r="G10" s="76">
        <f>(G5-G6)*(1+'Fane 15. Nøgletal'!C10)</f>
        <v>61659644.636996999</v>
      </c>
      <c r="H10" s="14" t="s">
        <v>3</v>
      </c>
      <c r="I10" s="1"/>
    </row>
    <row r="11" spans="1:9" x14ac:dyDescent="0.25">
      <c r="A11" s="1"/>
      <c r="B11" s="138" t="s">
        <v>122</v>
      </c>
      <c r="C11" s="139"/>
      <c r="D11" s="139"/>
      <c r="E11" s="139"/>
      <c r="F11" s="140"/>
      <c r="G11" s="76">
        <v>-133927</v>
      </c>
      <c r="H11" s="14" t="s">
        <v>3</v>
      </c>
      <c r="I11" s="1"/>
    </row>
    <row r="12" spans="1:9" x14ac:dyDescent="0.25">
      <c r="A12" s="1"/>
      <c r="B12" s="141" t="s">
        <v>64</v>
      </c>
      <c r="C12" s="142"/>
      <c r="D12" s="142"/>
      <c r="E12" s="142"/>
      <c r="F12" s="143"/>
      <c r="G12" s="77">
        <v>0</v>
      </c>
      <c r="H12" s="14" t="s">
        <v>3</v>
      </c>
      <c r="I12" s="1"/>
    </row>
    <row r="13" spans="1:9" x14ac:dyDescent="0.25">
      <c r="A13" s="1"/>
      <c r="B13" s="138" t="s">
        <v>65</v>
      </c>
      <c r="C13" s="139"/>
      <c r="D13" s="139"/>
      <c r="E13" s="139"/>
      <c r="F13" s="140"/>
      <c r="G13" s="76">
        <f>SUM(G10:G12)*'Fane 15. Nøgletal'!C21</f>
        <v>1089005.202174847</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8" t="s">
        <v>66</v>
      </c>
      <c r="C16" s="129"/>
      <c r="D16" s="129"/>
      <c r="E16" s="129"/>
      <c r="F16" s="129"/>
      <c r="G16" s="137"/>
      <c r="H16" s="130"/>
      <c r="I16" s="1"/>
    </row>
    <row r="17" spans="1:9" x14ac:dyDescent="0.25">
      <c r="A17" s="1"/>
      <c r="B17" s="138" t="s">
        <v>67</v>
      </c>
      <c r="C17" s="139"/>
      <c r="D17" s="139"/>
      <c r="E17" s="139"/>
      <c r="F17" s="140"/>
      <c r="G17" s="76">
        <f>(SUM(G10:G12)-G13)*(1+'Fane 15. Nøgletal'!C10)</f>
        <v>61494354.90243154</v>
      </c>
      <c r="H17" s="14" t="s">
        <v>3</v>
      </c>
      <c r="I17" s="1"/>
    </row>
    <row r="18" spans="1:9" x14ac:dyDescent="0.25">
      <c r="A18" s="1"/>
      <c r="B18" s="141" t="s">
        <v>68</v>
      </c>
      <c r="C18" s="142"/>
      <c r="D18" s="142"/>
      <c r="E18" s="142"/>
      <c r="F18" s="143"/>
      <c r="G18" s="76">
        <v>285307.32205582992</v>
      </c>
      <c r="H18" s="14" t="s">
        <v>3</v>
      </c>
      <c r="I18" s="1"/>
    </row>
    <row r="19" spans="1:9" x14ac:dyDescent="0.25">
      <c r="A19" s="1"/>
      <c r="B19" s="138" t="s">
        <v>69</v>
      </c>
      <c r="C19" s="139"/>
      <c r="D19" s="139"/>
      <c r="E19" s="139"/>
      <c r="F19" s="140"/>
      <c r="G19" s="76">
        <f>G17*'Fane 15. Nøgletal'!C21+G18*'Fane 15. Nøgletal'!C22</f>
        <v>1090932.2554749239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8" t="s">
        <v>70</v>
      </c>
      <c r="C22" s="129"/>
      <c r="D22" s="129"/>
      <c r="E22" s="129"/>
      <c r="F22" s="129"/>
      <c r="G22" s="137"/>
      <c r="H22" s="130"/>
      <c r="I22" s="1"/>
    </row>
    <row r="23" spans="1:9" x14ac:dyDescent="0.25">
      <c r="A23" s="1"/>
      <c r="B23" s="138" t="s">
        <v>71</v>
      </c>
      <c r="C23" s="139"/>
      <c r="D23" s="139"/>
      <c r="E23" s="139"/>
      <c r="F23" s="140"/>
      <c r="G23" s="76">
        <f>(G17+G18-G19)*(1+'Fane 15. Nøgletal'!C12)</f>
        <v>61884297.949401997</v>
      </c>
      <c r="H23" s="14" t="s">
        <v>3</v>
      </c>
      <c r="I23" s="1"/>
    </row>
    <row r="24" spans="1:9" x14ac:dyDescent="0.25">
      <c r="A24" s="1"/>
      <c r="B24" s="141" t="s">
        <v>72</v>
      </c>
      <c r="C24" s="142"/>
      <c r="D24" s="142"/>
      <c r="E24" s="142"/>
      <c r="F24" s="143"/>
      <c r="G24" s="76">
        <v>7044.5643097500006</v>
      </c>
      <c r="H24" s="14" t="s">
        <v>3</v>
      </c>
      <c r="I24" s="1"/>
    </row>
    <row r="25" spans="1:9" x14ac:dyDescent="0.25">
      <c r="A25" s="1"/>
      <c r="B25" s="138" t="s">
        <v>73</v>
      </c>
      <c r="C25" s="139"/>
      <c r="D25" s="139"/>
      <c r="E25" s="139"/>
      <c r="F25" s="140"/>
      <c r="G25" s="76">
        <f>(G23+G24)*'Fane 15. Nøgletal'!C23</f>
        <v>1757714.1273894138</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8" t="s">
        <v>74</v>
      </c>
      <c r="C28" s="129"/>
      <c r="D28" s="129"/>
      <c r="E28" s="129"/>
      <c r="F28" s="129"/>
      <c r="G28" s="137"/>
      <c r="H28" s="130"/>
      <c r="I28" s="1"/>
    </row>
    <row r="29" spans="1:9" x14ac:dyDescent="0.25">
      <c r="A29" s="1"/>
      <c r="B29" s="138" t="s">
        <v>75</v>
      </c>
      <c r="C29" s="139"/>
      <c r="D29" s="139"/>
      <c r="E29" s="139"/>
      <c r="F29" s="140"/>
      <c r="G29" s="76">
        <f>(G23+G24-G25)*(1+'Fane 15. Nøgletal'!C12)</f>
        <v>61318260.86553289</v>
      </c>
      <c r="H29" s="14" t="s">
        <v>3</v>
      </c>
      <c r="I29" s="1"/>
    </row>
    <row r="30" spans="1:9" x14ac:dyDescent="0.25">
      <c r="A30" s="1"/>
      <c r="B30" s="138" t="s">
        <v>139</v>
      </c>
      <c r="C30" s="139"/>
      <c r="D30" s="139"/>
      <c r="E30" s="139"/>
      <c r="F30" s="140"/>
      <c r="G30" s="76">
        <v>1160172.46814616</v>
      </c>
      <c r="H30" s="14" t="s">
        <v>3</v>
      </c>
      <c r="I30" s="1"/>
    </row>
    <row r="31" spans="1:9" x14ac:dyDescent="0.25">
      <c r="A31" s="1"/>
      <c r="B31" s="138" t="s">
        <v>76</v>
      </c>
      <c r="C31" s="139"/>
      <c r="D31" s="139"/>
      <c r="E31" s="139"/>
      <c r="F31" s="140"/>
      <c r="G31" s="76">
        <f>G29*'Fane 15. Nøgletal'!C23+G30*'Fane 15. Nøgletal'!C24</f>
        <v>1773343.3514551534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8" t="s">
        <v>165</v>
      </c>
      <c r="C34" s="129"/>
      <c r="D34" s="129"/>
      <c r="E34" s="129"/>
      <c r="F34" s="129"/>
      <c r="G34" s="137"/>
      <c r="H34" s="130"/>
      <c r="I34" s="1"/>
    </row>
    <row r="35" spans="1:9" x14ac:dyDescent="0.25">
      <c r="A35" s="1"/>
      <c r="B35" s="138" t="s">
        <v>78</v>
      </c>
      <c r="C35" s="139"/>
      <c r="D35" s="139"/>
      <c r="E35" s="139"/>
      <c r="F35" s="140"/>
      <c r="G35" s="76">
        <f>(G29+G30-G31)*(1+'Fane 15. Nøgletal'!C14)</f>
        <v>60905416.779165246</v>
      </c>
      <c r="H35" s="14" t="s">
        <v>3</v>
      </c>
      <c r="I35" s="1"/>
    </row>
    <row r="36" spans="1:9" x14ac:dyDescent="0.25">
      <c r="A36" s="1"/>
      <c r="B36" s="138" t="s">
        <v>167</v>
      </c>
      <c r="C36" s="139"/>
      <c r="D36" s="139"/>
      <c r="E36" s="139"/>
      <c r="F36" s="140"/>
      <c r="G36" s="76">
        <v>0</v>
      </c>
      <c r="H36" s="14" t="s">
        <v>3</v>
      </c>
      <c r="I36" s="1"/>
    </row>
    <row r="37" spans="1:9" x14ac:dyDescent="0.25">
      <c r="A37" s="1"/>
      <c r="B37" s="138" t="s">
        <v>166</v>
      </c>
      <c r="C37" s="139"/>
      <c r="D37" s="139"/>
      <c r="E37" s="139"/>
      <c r="F37" s="140"/>
      <c r="G37" s="76">
        <f>(G35+G36)*'Fane 15. Nøgletal'!C25</f>
        <v>901400.16833164566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8" t="s">
        <v>221</v>
      </c>
      <c r="C40" s="129"/>
      <c r="D40" s="129"/>
      <c r="E40" s="129"/>
      <c r="F40" s="129"/>
      <c r="G40" s="137"/>
      <c r="H40" s="130"/>
      <c r="I40" s="1"/>
    </row>
    <row r="41" spans="1:9" x14ac:dyDescent="0.25">
      <c r="A41" s="1"/>
      <c r="B41" s="138" t="s">
        <v>77</v>
      </c>
      <c r="C41" s="139"/>
      <c r="D41" s="139"/>
      <c r="E41" s="139"/>
      <c r="F41" s="140"/>
      <c r="G41" s="76">
        <f>(G35+G36-G37)*(1+'Fane 15. Nøgletal'!C14)</f>
        <v>60202029.865649357</v>
      </c>
      <c r="H41" s="14" t="s">
        <v>3</v>
      </c>
      <c r="I41" s="1"/>
    </row>
    <row r="42" spans="1:9" x14ac:dyDescent="0.25">
      <c r="A42" s="1"/>
      <c r="B42" s="43" t="s">
        <v>229</v>
      </c>
      <c r="C42" s="93"/>
      <c r="D42" s="93"/>
      <c r="E42" s="93"/>
      <c r="F42" s="94"/>
      <c r="G42" s="80">
        <f>('Fane 2.1. Økonomisk ramme 2023'!C11+'Fane 2.1. Økonomisk ramme 2023'!C13+'Fane 2.1. Økonomisk ramme 2023'!C15)*(1+'Fane 15. Nøgletal'!C15)</f>
        <v>651044.52829008014</v>
      </c>
      <c r="H42" s="14" t="s">
        <v>3</v>
      </c>
      <c r="I42" s="1"/>
    </row>
    <row r="43" spans="1:9" x14ac:dyDescent="0.25">
      <c r="A43" s="1"/>
      <c r="B43" s="138" t="s">
        <v>168</v>
      </c>
      <c r="C43" s="139"/>
      <c r="D43" s="139"/>
      <c r="E43" s="139"/>
      <c r="F43" s="140"/>
      <c r="G43" s="76">
        <f>(G41)*'Fane 15. Nøgletal'!C25+G42*'Fane 15. Nøgletal'!C26</f>
        <v>890990.04201161058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8" t="s">
        <v>242</v>
      </c>
      <c r="C52" s="129"/>
      <c r="D52" s="129"/>
      <c r="E52" s="129"/>
      <c r="F52" s="129"/>
      <c r="G52" s="137"/>
      <c r="H52" s="130"/>
      <c r="I52" s="1"/>
    </row>
    <row r="53" spans="1:9" x14ac:dyDescent="0.25">
      <c r="A53" s="1"/>
      <c r="B53" s="138" t="s">
        <v>140</v>
      </c>
      <c r="C53" s="139"/>
      <c r="D53" s="139"/>
      <c r="E53" s="139"/>
      <c r="F53" s="140"/>
      <c r="G53" s="76">
        <f>(G41+G42-G43)*(1+'Fane 15. Nøgletal'!C15)</f>
        <v>62096734.554856457</v>
      </c>
      <c r="H53" s="14" t="s">
        <v>3</v>
      </c>
      <c r="I53" s="1"/>
    </row>
    <row r="54" spans="1:9" x14ac:dyDescent="0.25">
      <c r="A54" s="1"/>
      <c r="B54" s="138" t="s">
        <v>141</v>
      </c>
      <c r="C54" s="139"/>
      <c r="D54" s="139"/>
      <c r="E54" s="139"/>
      <c r="F54" s="140"/>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8" t="s">
        <v>153</v>
      </c>
      <c r="C57" s="129"/>
      <c r="D57" s="129"/>
      <c r="E57" s="129"/>
      <c r="F57" s="129"/>
      <c r="G57" s="137"/>
      <c r="H57" s="130"/>
      <c r="I57" s="1"/>
    </row>
    <row r="58" spans="1:9" x14ac:dyDescent="0.25">
      <c r="A58" s="1"/>
      <c r="B58" s="138" t="s">
        <v>173</v>
      </c>
      <c r="C58" s="139"/>
      <c r="D58" s="139"/>
      <c r="E58" s="139"/>
      <c r="F58" s="140"/>
      <c r="G58" s="76">
        <f>(G53-G54)*(1+'Fane 15. Nøgletal'!C15)</f>
        <v>64307378.30500935</v>
      </c>
      <c r="H58" s="14" t="s">
        <v>3</v>
      </c>
      <c r="I58" s="1"/>
    </row>
    <row r="59" spans="1:9" x14ac:dyDescent="0.25">
      <c r="A59" s="1"/>
      <c r="B59" s="138" t="s">
        <v>174</v>
      </c>
      <c r="C59" s="139"/>
      <c r="D59" s="139"/>
      <c r="E59" s="139"/>
      <c r="F59" s="140"/>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8" t="s">
        <v>196</v>
      </c>
      <c r="C62" s="129"/>
      <c r="D62" s="129"/>
      <c r="E62" s="129"/>
      <c r="F62" s="129"/>
      <c r="G62" s="137"/>
      <c r="H62" s="130"/>
      <c r="I62" s="1"/>
    </row>
    <row r="63" spans="1:9" x14ac:dyDescent="0.25">
      <c r="A63" s="1"/>
      <c r="B63" s="138" t="s">
        <v>197</v>
      </c>
      <c r="C63" s="139"/>
      <c r="D63" s="139"/>
      <c r="E63" s="139"/>
      <c r="F63" s="140"/>
      <c r="G63" s="76">
        <f>(G58-G59)*(1+'Fane 15. Nøgletal'!C15)</f>
        <v>66596720.972667687</v>
      </c>
      <c r="H63" s="14" t="s">
        <v>3</v>
      </c>
      <c r="I63" s="1"/>
    </row>
    <row r="64" spans="1:9" x14ac:dyDescent="0.25">
      <c r="A64" s="1"/>
      <c r="B64" s="138" t="s">
        <v>198</v>
      </c>
      <c r="C64" s="139"/>
      <c r="D64" s="139"/>
      <c r="E64" s="139"/>
      <c r="F64" s="140"/>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0mL7iz4VNgHm9F3jJZIXNTduq9NVHvWxlUZp4sJf365sLUOlBnc7Jv9bBybenEEA4xK9W95JzK1LqmCuSOcQ9w==" saltValue="ksf6mPbFTDjZ+/CDHMD/+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0" t="s">
        <v>88</v>
      </c>
      <c r="C3" s="120"/>
      <c r="D3" s="120"/>
      <c r="E3" s="120"/>
      <c r="F3" s="120"/>
      <c r="G3" s="120"/>
      <c r="H3" s="1"/>
    </row>
    <row r="4" spans="1:8" ht="15" customHeight="1" x14ac:dyDescent="0.25">
      <c r="A4" s="1"/>
      <c r="B4" s="120"/>
      <c r="C4" s="120"/>
      <c r="D4" s="120"/>
      <c r="E4" s="120"/>
      <c r="F4" s="120"/>
      <c r="G4" s="12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8" t="s">
        <v>10</v>
      </c>
      <c r="C8" s="129"/>
      <c r="D8" s="129"/>
      <c r="E8" s="129"/>
      <c r="F8" s="129"/>
      <c r="G8" s="129"/>
      <c r="H8" s="1"/>
    </row>
    <row r="9" spans="1:8" x14ac:dyDescent="0.25">
      <c r="A9" s="1"/>
      <c r="B9" s="138" t="s">
        <v>154</v>
      </c>
      <c r="C9" s="139"/>
      <c r="D9" s="139"/>
      <c r="E9" s="139"/>
      <c r="F9" s="140"/>
      <c r="G9" s="35">
        <v>0</v>
      </c>
      <c r="H9" s="1"/>
    </row>
    <row r="10" spans="1:8" x14ac:dyDescent="0.25">
      <c r="A10" s="1"/>
      <c r="B10" s="32"/>
      <c r="C10" s="27"/>
      <c r="D10" s="27"/>
      <c r="E10" s="27"/>
      <c r="F10" s="27"/>
      <c r="G10" s="27"/>
      <c r="H10" s="1"/>
    </row>
    <row r="11" spans="1:8" ht="29.25" customHeight="1" x14ac:dyDescent="0.25">
      <c r="A11" s="1"/>
      <c r="B11" s="149" t="s">
        <v>236</v>
      </c>
      <c r="C11" s="150"/>
      <c r="D11" s="150"/>
      <c r="E11" s="150"/>
      <c r="F11" s="150"/>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xky0/E+pnEFlDjTjLF7qFHez2Y6I1+Td0Nhhlvha4NK32eLp/4ggUhmu7rxYdMWf2lv7BuXo+1faaEM2E+YH8A==" saltValue="vWPSOD+mcQMLUBvXN5I0Q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2022-12-01T08:39:31Z</dcterms:modified>
</cp:coreProperties>
</file>