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Vestforsyning Spildevand AS (S104)\ØR2025\"/>
    </mc:Choice>
  </mc:AlternateContent>
  <xr:revisionPtr revIDLastSave="0" documentId="13_ncr:1_{D433C588-4498-4567-B148-B334C3D23948}"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13. Tilknyttet virksomhed" sheetId="29" r:id="rId13"/>
    <sheet name="Fane 9. Korrektion af ØR2023" sheetId="40" r:id="rId14"/>
    <sheet name="Fane 10. Anlægsprojekter (§ 19)" sheetId="11" r:id="rId15"/>
    <sheet name="Fane 11.1. Varige tillæg" sheetId="37" r:id="rId16"/>
    <sheet name="Fane 11.2. Engangstillæg" sheetId="39" r:id="rId17"/>
    <sheet name="Fane 12. Periodevise driftsomk." sheetId="20"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21" i="37"/>
  <c r="C22" i="37" s="1"/>
  <c r="C10" i="2" l="1"/>
  <c r="C16" i="30" l="1"/>
  <c r="C17" i="30" s="1"/>
  <c r="C21" i="30" l="1"/>
  <c r="C22" i="30" s="1"/>
  <c r="C18" i="2"/>
  <c r="E21" i="37"/>
  <c r="E22"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<sst xmlns="http://schemas.openxmlformats.org/spreadsheetml/2006/main" count="565" uniqueCount="249">
  <si>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</si>
  <si>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</si>
  <si>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</si>
  <si>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</si>
  <si>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</si>
  <si>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</si>
  <si>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</si>
  <si>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</si>
  <si>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</si>
  <si>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</si>
  <si>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</si>
  <si>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</si>
  <si>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</si>
  <si>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</si>
  <si>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</si>
  <si>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</si>
  <si>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</si>
  <si>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</si>
  <si>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</si>
  <si>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</si>
  <si>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</si>
  <si>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</si>
  <si>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</si>
  <si>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</si>
  <si>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</si>
  <si>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</si>
  <si>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</si>
  <si>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</si>
  <si>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</si>
  <si>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</si>
  <si>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</si>
  <si>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</si>
  <si>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</si>
  <si>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</si>
  <si>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</si>
  <si>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</si>
  <si>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</si>
  <si>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</si>
  <si>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Drift</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</si>
  <si>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</si>
  <si>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</si>
  <si>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</si>
  <si>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</si>
  <si>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</si>
  <si>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</si>
  <si>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</si>
  <si>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</si>
  <si>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</si>
  <si>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</si>
  <si>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</si>
  <si>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</si>
  <si>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</si>
  <si>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</si>
  <si>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</si>
  <si>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</si>
  <si>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</si>
  <si>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</si>
  <si>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</si>
  <si>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</si>
  <si>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</si>
  <si>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</si>
  <si>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</si>
  <si>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</si>
  <si>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</si>
  <si>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</si>
  <si>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</si>
  <si>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</si>
  <si>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</si>
  <si>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</si>
  <si>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</si>
  <si>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</si>
  <si>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</si>
  <si>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</si>
  <si>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</si>
  <si>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</si>
  <si>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</si>
  <si>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</si>
  <si>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</si>
  <si>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</si>
  <si>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</si>
  <si>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</si>
  <si>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</si>
  <si>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</si>
  <si>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</si>
  <si>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</si>
  <si>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</si>
  <si>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</si>
  <si>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</si>
  <si>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</si>
  <si>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</si>
  <si>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</si>
  <si>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</si>
  <si>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</si>
  <si>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</si>
  <si>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</si>
  <si>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</si>
  <si>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</si>
  <si>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</si>
  <si>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</si>
  <si>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</si>
  <si>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</si>
  <si>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</si>
  <si>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</si>
  <si>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</si>
  <si>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</si>
  <si>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</si>
  <si>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</si>
  <si>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</si>
  <si>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</si>
  <si>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</si>
  <si>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</si>
  <si>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</si>
  <si>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</si>
  <si>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</si>
  <si>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</si>
  <si>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</si>
  <si>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</si>
  <si>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</si>
  <si>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</si>
  <si>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</si>
  <si>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</si>
  <si>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</si>
  <si>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</si>
  <si>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</si>
  <si>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</si>
  <si>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</si>
  <si>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</si>
  <si>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</si>
  <si>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</si>
  <si>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</si>
  <si>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</si>
  <si>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</si>
  <si>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</si>
  <si>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</si>
  <si>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</si>
  <si>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</si>
  <si>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</si>
  <si>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</si>
  <si>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</si>
  <si>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</si>
  <si>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</si>
  <si>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</si>
  <si>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</si>
  <si>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</si>
  <si>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</si>
  <si>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</si>
  <si>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</si>
  <si>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</si>
  <si>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</si>
  <si>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</si>
  <si>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</si>
  <si>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</si>
  <si>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</si>
  <si>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</si>
  <si>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</si>
  <si>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</si>
  <si>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</si>
  <si>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</si>
  <si>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</si>
  <si>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</si>
  <si>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</si>
  <si>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</si>
  <si>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</si>
  <si>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</si>
  <si>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</si>
  <si>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</si>
  <si>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</si>
  <si>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</si>
  <si>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</si>
  <si>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</si>
  <si>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</si>
  <si>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</si>
  <si>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</si>
  <si>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</si>
  <si>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</si>
  <si>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</si>
  <si>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</si>
  <si>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</si>
  <si>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</si>
  <si>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</si>
  <si>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</si>
  <si>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</si>
  <si>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</si>
  <si>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</si>
  <si>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</si>
  <si>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</si>
  <si>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</si>
  <si>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</si>
  <si>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</si>
  <si>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</si>
  <si>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</si>
  <si>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</si>
  <si>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</si>
  <si>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</si>
  <si>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</si>
  <si>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</si>
  <si>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</si>
  <si>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</si>
  <si>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</si>
  <si>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</si>
  <si>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</si>
  <si>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</si>
  <si>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</si>
  <si>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</si>
  <si>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</si>
  <si>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</si>
  <si>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</si>
  <si>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</si>
  <si>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</si>
  <si>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</si>
  <si>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</si>
  <si>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</si>
  <si>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</si>
  <si>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</si>
  <si>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</si>
  <si>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</si>
  <si>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</si>
  <si>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</si>
  <si>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</si>
  <si>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</si>
  <si>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</si>
  <si>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</si>
  <si>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</si>
  <si>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</si>
  <si>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</si>
  <si>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</si>
  <si>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</si>
  <si>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</si>
  <si>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</si>
  <si>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</si>
  <si>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</si>
  <si>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</si>
  <si>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Digitalisering</t>
  </si>
  <si>
    <t>Forurening af recipient</t>
  </si>
  <si>
    <t>Optimering og forsyningssikkerhed</t>
  </si>
  <si>
    <t>Overløb</t>
  </si>
  <si>
    <t>Separatkloakeringer</t>
  </si>
  <si>
    <t>TV-inspektion og overvågning</t>
  </si>
  <si>
    <t>Omlægning</t>
  </si>
  <si>
    <t>Udvidelse af forsyningsområde</t>
  </si>
  <si>
    <t>Udvidelse af forsyningsområde Ulfborg</t>
  </si>
  <si>
    <t>Ingen engangstillæg</t>
  </si>
  <si>
    <t>Spildevandsafgift</t>
  </si>
  <si>
    <t>Afgift til Forsyningssekretariatet</t>
  </si>
  <si>
    <t>Køb af ydelser og produkter fra andre vandselskaber reguleret af vandsektorloven</t>
  </si>
  <si>
    <t>Ejendomsskatter</t>
  </si>
  <si>
    <t>Erstatninger</t>
  </si>
  <si>
    <t>Gebyr til Miljøstyrelsen</t>
  </si>
  <si>
    <t>Øvrige afgifter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</si>
</sst>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3" fontId="15" fillId="8" borderId="1" xfId="0"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4" xfId="0" applyFont="1" applyFill="1" applyBorder="1" applyAlignment="1" applyProtection="1">
      <alignment horizontal="lef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7" t="s">
        <v>4</v>
      </c>
      <c r="D6" s="97"/>
      <c r="E6" s="97"/>
      <c r="F6" s="97"/>
      <c r="G6" s="3"/>
    </row>
    <row r="7" spans="1:7" ht="15" customHeight="1" x14ac:dyDescent="0.25">
      <c r="A7" s="1"/>
      <c r="B7" s="3"/>
      <c r="C7" s="97"/>
      <c r="D7" s="97"/>
      <c r="E7" s="97"/>
      <c r="F7" s="97"/>
      <c r="G7" s="3"/>
    </row>
    <row r="8" spans="1:7" ht="15.75" x14ac:dyDescent="0.25">
      <c r="A8" s="1"/>
      <c r="B8" s="4"/>
      <c r="C8" s="102" t="s">
        <v>231</v>
      </c>
      <c r="D8" s="102"/>
      <c r="E8" s="102"/>
      <c r="F8" s="102"/>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101" t="s">
        <v>5</v>
      </c>
      <c r="D11" s="101"/>
      <c r="E11" s="101"/>
      <c r="F11" s="101"/>
      <c r="G11" s="5"/>
    </row>
    <row r="12" spans="1:7" x14ac:dyDescent="0.25">
      <c r="A12" s="1"/>
      <c r="B12" s="1"/>
      <c r="C12" s="1"/>
      <c r="D12" s="1"/>
      <c r="E12" s="1"/>
      <c r="F12" s="1"/>
      <c r="G12" s="5"/>
    </row>
    <row r="13" spans="1:7" x14ac:dyDescent="0.25">
      <c r="A13" s="1"/>
      <c r="B13" s="6" t="s">
        <v>6</v>
      </c>
      <c r="C13" s="103" t="s">
        <v>128</v>
      </c>
      <c r="D13" s="104"/>
      <c r="E13" s="104"/>
      <c r="F13" s="105"/>
      <c r="G13" s="5"/>
    </row>
    <row r="14" spans="1:7" x14ac:dyDescent="0.25">
      <c r="A14" s="1"/>
      <c r="B14" s="6" t="s">
        <v>16</v>
      </c>
      <c r="C14" s="94" t="s">
        <v>187</v>
      </c>
      <c r="D14" s="95"/>
      <c r="E14" s="95"/>
      <c r="F14" s="96"/>
      <c r="G14" s="5"/>
    </row>
    <row r="15" spans="1:7" x14ac:dyDescent="0.25">
      <c r="A15" s="1"/>
      <c r="B15" s="6" t="s">
        <v>30</v>
      </c>
      <c r="C15" s="94" t="s">
        <v>150</v>
      </c>
      <c r="D15" s="95"/>
      <c r="E15" s="95"/>
      <c r="F15" s="96"/>
      <c r="G15" s="5"/>
    </row>
    <row r="16" spans="1:7" x14ac:dyDescent="0.25">
      <c r="A16" s="1"/>
      <c r="B16" s="6" t="s">
        <v>31</v>
      </c>
      <c r="C16" s="94" t="s">
        <v>152</v>
      </c>
      <c r="D16" s="95"/>
      <c r="E16" s="95"/>
      <c r="F16" s="96"/>
      <c r="G16" s="5"/>
    </row>
    <row r="17" spans="1:8" x14ac:dyDescent="0.25">
      <c r="A17" s="1"/>
      <c r="B17" s="6" t="s">
        <v>62</v>
      </c>
      <c r="C17" s="94" t="s">
        <v>153</v>
      </c>
      <c r="D17" s="95"/>
      <c r="E17" s="95"/>
      <c r="F17" s="96"/>
      <c r="G17" s="5"/>
    </row>
    <row r="18" spans="1:8" x14ac:dyDescent="0.25">
      <c r="A18" s="1"/>
      <c r="B18" s="6" t="s">
        <v>54</v>
      </c>
      <c r="C18" s="91" t="s">
        <v>46</v>
      </c>
      <c r="D18" s="92"/>
      <c r="E18" s="92"/>
      <c r="F18" s="93"/>
      <c r="G18" s="5"/>
    </row>
    <row r="19" spans="1:8" x14ac:dyDescent="0.25">
      <c r="A19" s="1"/>
      <c r="B19" s="6" t="s">
        <v>55</v>
      </c>
      <c r="C19" s="91" t="s">
        <v>47</v>
      </c>
      <c r="D19" s="92"/>
      <c r="E19" s="92"/>
      <c r="F19" s="93"/>
      <c r="G19" s="5"/>
    </row>
    <row r="20" spans="1:8" x14ac:dyDescent="0.25">
      <c r="A20" s="1"/>
      <c r="B20" s="6" t="s">
        <v>7</v>
      </c>
      <c r="C20" s="91" t="s">
        <v>10</v>
      </c>
      <c r="D20" s="92"/>
      <c r="E20" s="92"/>
      <c r="F20" s="93"/>
      <c r="G20" s="5"/>
    </row>
    <row r="21" spans="1:8" x14ac:dyDescent="0.25">
      <c r="A21" s="1"/>
      <c r="B21" s="6" t="s">
        <v>56</v>
      </c>
      <c r="C21" s="98" t="s">
        <v>12</v>
      </c>
      <c r="D21" s="99"/>
      <c r="E21" s="99"/>
      <c r="F21" s="100"/>
      <c r="G21" s="5"/>
    </row>
    <row r="22" spans="1:8" x14ac:dyDescent="0.25">
      <c r="A22" s="1"/>
      <c r="B22" s="6" t="s">
        <v>40</v>
      </c>
      <c r="C22" s="85" t="s">
        <v>154</v>
      </c>
      <c r="D22" s="86"/>
      <c r="E22" s="86"/>
      <c r="F22" s="87"/>
      <c r="G22" s="5"/>
    </row>
    <row r="23" spans="1:8" x14ac:dyDescent="0.25">
      <c r="A23" s="1"/>
      <c r="B23" s="6" t="s">
        <v>8</v>
      </c>
      <c r="C23" s="85" t="s">
        <v>113</v>
      </c>
      <c r="D23" s="86"/>
      <c r="E23" s="86"/>
      <c r="F23" s="87"/>
      <c r="G23" s="5"/>
    </row>
    <row r="24" spans="1:8" x14ac:dyDescent="0.25">
      <c r="A24" s="1"/>
      <c r="B24" s="6" t="s">
        <v>9</v>
      </c>
      <c r="C24" s="85" t="s">
        <v>155</v>
      </c>
      <c r="D24" s="86"/>
      <c r="E24" s="86"/>
      <c r="F24" s="87"/>
      <c r="G24" s="5"/>
    </row>
    <row r="25" spans="1:8" x14ac:dyDescent="0.25">
      <c r="A25" s="1"/>
      <c r="B25" s="6" t="s">
        <v>98</v>
      </c>
      <c r="C25" s="85" t="s">
        <v>92</v>
      </c>
      <c r="D25" s="86"/>
      <c r="E25" s="86"/>
      <c r="F25" s="87"/>
      <c r="G25" s="1"/>
    </row>
    <row r="26" spans="1:8" x14ac:dyDescent="0.25">
      <c r="A26" s="1"/>
      <c r="B26" s="6" t="s">
        <v>99</v>
      </c>
      <c r="C26" s="85" t="s">
        <v>41</v>
      </c>
      <c r="D26" s="86"/>
      <c r="E26" s="86"/>
      <c r="F26" s="87"/>
      <c r="G26" s="1"/>
    </row>
    <row r="27" spans="1:8" x14ac:dyDescent="0.25">
      <c r="A27" s="1"/>
      <c r="B27" s="6" t="s">
        <v>100</v>
      </c>
      <c r="C27" s="85" t="s">
        <v>42</v>
      </c>
      <c r="D27" s="86"/>
      <c r="E27" s="86"/>
      <c r="F27" s="87"/>
      <c r="G27" s="1"/>
    </row>
    <row r="28" spans="1:8" x14ac:dyDescent="0.25">
      <c r="A28" s="1"/>
      <c r="B28" s="6" t="s">
        <v>15</v>
      </c>
      <c r="C28" s="85" t="s">
        <v>43</v>
      </c>
      <c r="D28" s="86"/>
      <c r="E28" s="86"/>
      <c r="F28" s="87"/>
      <c r="G28" s="1"/>
      <c r="H28" s="2" t="s">
        <v>151</v>
      </c>
    </row>
    <row r="29" spans="1:8" x14ac:dyDescent="0.25">
      <c r="A29" s="1"/>
      <c r="B29" s="6" t="s">
        <v>33</v>
      </c>
      <c r="C29" s="85" t="s">
        <v>69</v>
      </c>
      <c r="D29" s="86"/>
      <c r="E29" s="86"/>
      <c r="F29" s="87"/>
      <c r="G29" s="1"/>
    </row>
    <row r="30" spans="1:8" x14ac:dyDescent="0.25">
      <c r="A30" s="1"/>
      <c r="B30" s="6" t="s">
        <v>34</v>
      </c>
      <c r="C30" s="85" t="s">
        <v>32</v>
      </c>
      <c r="D30" s="86"/>
      <c r="E30" s="86"/>
      <c r="F30" s="87"/>
      <c r="G30" s="1"/>
    </row>
    <row r="31" spans="1:8" x14ac:dyDescent="0.25">
      <c r="A31" s="1"/>
      <c r="B31" s="6" t="s">
        <v>101</v>
      </c>
      <c r="C31" s="88" t="s">
        <v>53</v>
      </c>
      <c r="D31" s="89"/>
      <c r="E31" s="89"/>
      <c r="F31" s="90"/>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ENR7dmF7qiOeWPrXRmOPUlPaOCs1sP54Gcb6dQxew+1ndrCJJQ8VUv+n/1osFVHC29ZocTbNlHy2fdFT7tilBw==" saltValue="sQ8r29RYHxMbLN3R/9iRzw=="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156</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91</v>
      </c>
      <c r="C9" s="7">
        <f>'Fane 3. Omkostninger i ØR2024'!C20</f>
        <v>135475334.5152922</v>
      </c>
      <c r="D9" s="8" t="s">
        <v>3</v>
      </c>
      <c r="E9" s="1"/>
    </row>
    <row r="10" spans="1:5" ht="17.25" customHeight="1" x14ac:dyDescent="0.25">
      <c r="A10" s="1"/>
      <c r="B10" s="65" t="s">
        <v>35</v>
      </c>
      <c r="C10" s="7">
        <f>'Fane 11.1. Varige tillæg'!C22</f>
        <v>9052761.1765999999</v>
      </c>
      <c r="D10" s="8" t="s">
        <v>3</v>
      </c>
      <c r="E10" s="1"/>
    </row>
    <row r="11" spans="1:5" ht="17.25" customHeight="1" x14ac:dyDescent="0.25">
      <c r="A11" s="1"/>
      <c r="B11" s="65" t="s">
        <v>36</v>
      </c>
      <c r="C11" s="9">
        <f>'Fane 11.1. Varige tillæg'!E22</f>
        <v>1194365.8289000001</v>
      </c>
      <c r="D11" s="8" t="s">
        <v>3</v>
      </c>
      <c r="E11" s="1"/>
    </row>
    <row r="12" spans="1:5" ht="17.25" customHeight="1" x14ac:dyDescent="0.25">
      <c r="A12" s="1"/>
      <c r="B12" s="65" t="s">
        <v>25</v>
      </c>
      <c r="C12" s="9">
        <f>-'Fane 14. Bortfald'!C12</f>
        <v>0</v>
      </c>
      <c r="D12" s="8" t="s">
        <v>3</v>
      </c>
      <c r="E12" s="1"/>
    </row>
    <row r="13" spans="1:5" ht="17.25" customHeight="1" x14ac:dyDescent="0.25">
      <c r="A13" s="1"/>
      <c r="B13" s="65" t="s">
        <v>24</v>
      </c>
      <c r="C13" s="9">
        <f>-'Fane 14. Bortfald'!E12</f>
        <v>0</v>
      </c>
      <c r="D13" s="8" t="s">
        <v>3</v>
      </c>
      <c r="E13" s="1"/>
    </row>
    <row r="14" spans="1:5" ht="17.25" customHeight="1" x14ac:dyDescent="0.25">
      <c r="A14" s="1"/>
      <c r="B14" s="65" t="s">
        <v>63</v>
      </c>
      <c r="C14" s="9">
        <f>'Fane 13. Tilknyttet virksomhed'!C12</f>
        <v>0</v>
      </c>
      <c r="D14" s="8" t="s">
        <v>3</v>
      </c>
      <c r="E14" s="1"/>
    </row>
    <row r="15" spans="1:5" ht="17.25" customHeight="1" x14ac:dyDescent="0.25">
      <c r="A15" s="1"/>
      <c r="B15" s="65" t="s">
        <v>64</v>
      </c>
      <c r="C15" s="9">
        <f>'Fane 13. Tilknyttet virksomhed'!E12</f>
        <v>0</v>
      </c>
      <c r="D15" s="8" t="s">
        <v>3</v>
      </c>
      <c r="E15" s="1"/>
    </row>
    <row r="16" spans="1:5" ht="17.25" customHeight="1" x14ac:dyDescent="0.25">
      <c r="A16" s="1"/>
      <c r="B16" s="65" t="s">
        <v>19</v>
      </c>
      <c r="C16" s="38">
        <f>SUM(C9)*'Fane 15. Nøgletal'!C9+SUM(C10:C11,C14:C15)*'Fane 15. Nøgletal'!C10</f>
        <v>11625791.549300259</v>
      </c>
      <c r="D16" s="8" t="s">
        <v>3</v>
      </c>
      <c r="E16" s="1"/>
    </row>
    <row r="17" spans="1:5" ht="17.25" customHeight="1" x14ac:dyDescent="0.25">
      <c r="A17" s="1"/>
      <c r="B17" s="65" t="s">
        <v>10</v>
      </c>
      <c r="C17" s="38">
        <f>-SUM(C9,C10:C16)*'Fane 5. Individuelt eff. krav'!C9</f>
        <v>0</v>
      </c>
      <c r="D17" s="8" t="s">
        <v>3</v>
      </c>
      <c r="E17" s="1"/>
    </row>
    <row r="18" spans="1:5" ht="17.25" customHeight="1" x14ac:dyDescent="0.25">
      <c r="A18" s="1"/>
      <c r="B18" s="65" t="s">
        <v>22</v>
      </c>
      <c r="C18" s="38">
        <f>-'Fane 4.1. Gen. krav - drift'!C17</f>
        <v>-1181878.6633896616</v>
      </c>
      <c r="D18" s="8" t="s">
        <v>3</v>
      </c>
      <c r="E18" s="1"/>
    </row>
    <row r="19" spans="1:5" ht="17.25" customHeight="1" x14ac:dyDescent="0.25">
      <c r="A19" s="1"/>
      <c r="B19" s="65" t="s">
        <v>23</v>
      </c>
      <c r="C19" s="38">
        <f>-'Fane 4.2. Gen. krav - anlæg'!C17</f>
        <v>0</v>
      </c>
      <c r="D19" s="8" t="s">
        <v>3</v>
      </c>
      <c r="E19" s="43"/>
    </row>
    <row r="20" spans="1:5" ht="17.25" customHeight="1" x14ac:dyDescent="0.25">
      <c r="A20" s="1"/>
      <c r="B20" s="83" t="s">
        <v>21</v>
      </c>
      <c r="C20" s="10">
        <f>SUM(C9:C19)</f>
        <v>156166374.40670282</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3723721.0545619149</v>
      </c>
      <c r="D22" s="11" t="s">
        <v>3</v>
      </c>
      <c r="E22" s="1"/>
    </row>
    <row r="23" spans="1:5" ht="15" customHeight="1" x14ac:dyDescent="0.25">
      <c r="A23" s="1"/>
      <c r="B23" s="33" t="s">
        <v>43</v>
      </c>
      <c r="C23" s="28"/>
      <c r="D23" s="19"/>
      <c r="E23" s="1"/>
    </row>
    <row r="24" spans="1:5" ht="15" customHeight="1" x14ac:dyDescent="0.25">
      <c r="A24" s="1"/>
      <c r="B24" s="83" t="s">
        <v>43</v>
      </c>
      <c r="C24" s="10">
        <f>'Fane 12. Periodevise driftsomk.'!C12</f>
        <v>0</v>
      </c>
      <c r="D24" s="11" t="s">
        <v>3</v>
      </c>
      <c r="E24" s="1"/>
    </row>
    <row r="25" spans="1:5" ht="15" customHeight="1" x14ac:dyDescent="0.25">
      <c r="A25" s="1"/>
      <c r="B25" s="41" t="s">
        <v>42</v>
      </c>
      <c r="C25" s="39"/>
      <c r="D25" s="40"/>
      <c r="E25" s="1"/>
    </row>
    <row r="26" spans="1:5" ht="15" customHeight="1" x14ac:dyDescent="0.25">
      <c r="A26" s="1"/>
      <c r="B26" s="65" t="s">
        <v>90</v>
      </c>
      <c r="C26" s="38">
        <f>'Fane 11.2. Engangstillæg'!C14</f>
        <v>0</v>
      </c>
      <c r="D26" s="8" t="s">
        <v>3</v>
      </c>
      <c r="E26" s="1"/>
    </row>
    <row r="27" spans="1:5" ht="15" customHeight="1" x14ac:dyDescent="0.25">
      <c r="A27" s="1"/>
      <c r="B27" s="65" t="s">
        <v>39</v>
      </c>
      <c r="C27" s="38">
        <f>'Fane 11.2. Engangstillæg'!E14</f>
        <v>0</v>
      </c>
      <c r="D27" s="8" t="s">
        <v>3</v>
      </c>
      <c r="E27" s="1"/>
    </row>
    <row r="28" spans="1:5" ht="15" customHeight="1" x14ac:dyDescent="0.25">
      <c r="A28" s="1"/>
      <c r="B28" s="65" t="s">
        <v>93</v>
      </c>
      <c r="C28" s="38">
        <f>-C26*('Fane 15. Nøgletal'!C21+'Fane 5. Individuelt eff. krav'!C9)</f>
        <v>0</v>
      </c>
      <c r="D28" s="8" t="s">
        <v>3</v>
      </c>
      <c r="E28" s="1"/>
    </row>
    <row r="29" spans="1:5" ht="15" customHeight="1" x14ac:dyDescent="0.25">
      <c r="A29" s="1"/>
      <c r="B29" s="65" t="s">
        <v>94</v>
      </c>
      <c r="C29" s="38">
        <f>-C27*('Fane 15. Nøgletal'!C16+'Fane 5. Individuelt eff. krav'!C9)</f>
        <v>0</v>
      </c>
      <c r="D29" s="8" t="s">
        <v>3</v>
      </c>
      <c r="E29" s="1"/>
    </row>
    <row r="30" spans="1:5" ht="15" customHeight="1" x14ac:dyDescent="0.25">
      <c r="A30" s="1"/>
      <c r="B30" s="68" t="s">
        <v>44</v>
      </c>
      <c r="C30" s="10">
        <f>SUM(C26:C29)</f>
        <v>0</v>
      </c>
      <c r="D30" s="11" t="s">
        <v>3</v>
      </c>
      <c r="E30" s="1"/>
    </row>
    <row r="31" spans="1:5" x14ac:dyDescent="0.25">
      <c r="A31" s="1"/>
      <c r="B31" s="33" t="s">
        <v>70</v>
      </c>
      <c r="C31" s="28"/>
      <c r="D31" s="19"/>
      <c r="E31" s="1"/>
    </row>
    <row r="32" spans="1:5" x14ac:dyDescent="0.25">
      <c r="A32" s="1"/>
      <c r="B32" s="31" t="s">
        <v>80</v>
      </c>
      <c r="C32" s="62">
        <f>'Fane 7. Kontrol af ØR2023'!C27</f>
        <v>6946856.9308603629</v>
      </c>
      <c r="D32" s="11" t="s">
        <v>3</v>
      </c>
      <c r="E32" s="1"/>
    </row>
    <row r="33" spans="1:5" ht="15" customHeight="1" x14ac:dyDescent="0.25">
      <c r="A33" s="1"/>
      <c r="B33" s="33" t="s">
        <v>155</v>
      </c>
      <c r="C33" s="28"/>
      <c r="D33" s="19"/>
      <c r="E33" s="1"/>
    </row>
    <row r="34" spans="1:5" x14ac:dyDescent="0.25">
      <c r="A34" s="1"/>
      <c r="B34" s="31" t="s">
        <v>155</v>
      </c>
      <c r="C34" s="10">
        <f>'Fane 9. Korrektion af ØR2023'!C16</f>
        <v>0</v>
      </c>
      <c r="D34" s="11" t="s">
        <v>3</v>
      </c>
      <c r="E34" s="1"/>
    </row>
    <row r="35" spans="1:5" x14ac:dyDescent="0.25">
      <c r="A35" s="1"/>
      <c r="B35" s="30" t="s">
        <v>76</v>
      </c>
      <c r="C35" s="28"/>
      <c r="D35" s="19"/>
      <c r="E35" s="1"/>
    </row>
    <row r="36" spans="1:5" x14ac:dyDescent="0.25">
      <c r="A36" s="1"/>
      <c r="B36" s="68" t="s">
        <v>77</v>
      </c>
      <c r="C36" s="10">
        <f>'Fane 8. Skattesagen'!C14</f>
        <v>0</v>
      </c>
      <c r="D36" s="11" t="s">
        <v>3</v>
      </c>
      <c r="E36" s="1"/>
    </row>
    <row r="37" spans="1:5" x14ac:dyDescent="0.25">
      <c r="A37" s="1"/>
      <c r="B37" s="33" t="s">
        <v>72</v>
      </c>
      <c r="C37" s="45">
        <f>SUM(C34,C32,C24,C30,C22,C20,C36)</f>
        <v>166836952.3921251</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4y28vH2VePBk31TTTEHs8L6gNzSA/Jz3p5PEcFeTKS9xxrjKq/Vz941/4y2prY0DX4rzag1VYL03pWoJzm86SA==" saltValue="YDwMat+JkDO/bmWm0rxN+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157</v>
      </c>
      <c r="C3" s="106"/>
      <c r="D3" s="106"/>
      <c r="E3" s="1"/>
    </row>
    <row r="4" spans="1:5" ht="15" customHeight="1" x14ac:dyDescent="0.25">
      <c r="A4" s="1"/>
      <c r="B4" s="106"/>
      <c r="C4" s="106"/>
      <c r="D4" s="106"/>
      <c r="E4" s="1"/>
    </row>
    <row r="5" spans="1:5" x14ac:dyDescent="0.25">
      <c r="A5" s="1"/>
      <c r="B5" s="107" t="s">
        <v>145</v>
      </c>
      <c r="C5" s="107"/>
      <c r="D5" s="107"/>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81</v>
      </c>
      <c r="C9" s="7">
        <f>'Fane 2.1. Økonomisk ramme 2025'!C20</f>
        <v>156166374.40670282</v>
      </c>
      <c r="D9" s="8" t="s">
        <v>3</v>
      </c>
      <c r="E9" s="1"/>
    </row>
    <row r="10" spans="1:5" ht="15" customHeight="1" x14ac:dyDescent="0.25">
      <c r="A10" s="1"/>
      <c r="B10" s="26" t="s">
        <v>19</v>
      </c>
      <c r="C10" s="7">
        <f>C9*'Fane 15. Nøgletal'!C10</f>
        <v>10353830.623164397</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-1235032.4743969485</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165285172.55547026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3970603.7604793701</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driftsomk.'!C18</f>
        <v>0</v>
      </c>
      <c r="D18" s="11" t="s">
        <v>3</v>
      </c>
      <c r="E18" s="1"/>
    </row>
    <row r="19" spans="1:5" x14ac:dyDescent="0.25">
      <c r="A19" s="1"/>
      <c r="B19" s="33" t="s">
        <v>70</v>
      </c>
      <c r="C19" s="28"/>
      <c r="D19" s="19"/>
      <c r="E19" s="1"/>
    </row>
    <row r="20" spans="1:5" ht="15" customHeight="1" x14ac:dyDescent="0.25">
      <c r="A20" s="1"/>
      <c r="B20" s="31" t="s">
        <v>80</v>
      </c>
      <c r="C20" s="10">
        <f>'Fane 7. Kontrol af ØR2023'!C33</f>
        <v>0</v>
      </c>
      <c r="D20" s="11" t="s">
        <v>3</v>
      </c>
      <c r="E20" s="1"/>
    </row>
    <row r="21" spans="1:5" x14ac:dyDescent="0.25">
      <c r="A21" s="1"/>
      <c r="B21" s="30" t="s">
        <v>76</v>
      </c>
      <c r="C21" s="28"/>
      <c r="D21" s="19"/>
      <c r="E21" s="1"/>
    </row>
    <row r="22" spans="1:5" x14ac:dyDescent="0.25">
      <c r="A22" s="1"/>
      <c r="B22" s="68" t="s">
        <v>77</v>
      </c>
      <c r="C22" s="10">
        <f>'Fane 8. Skattesagen'!C15</f>
        <v>0</v>
      </c>
      <c r="D22" s="11" t="s">
        <v>3</v>
      </c>
      <c r="E22" s="1"/>
    </row>
    <row r="23" spans="1:5" x14ac:dyDescent="0.25">
      <c r="A23" s="1"/>
      <c r="B23" s="33" t="s">
        <v>82</v>
      </c>
      <c r="C23" s="12">
        <f>SUM(C14,C16,C18,C20,C22)</f>
        <v>169255776.31594962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grTeOCpjEca2veUa3bk3XiBy54GaDYHF9Li79Am8Ti8j7HYsMq8i85/Ia5ReNlxz/eT5XzMKXXkQYNGO5YHuw==" saltValue="mlWTqW9V5oJJ0dzCSBDDkQ=="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158</v>
      </c>
      <c r="C3" s="106"/>
      <c r="D3" s="106"/>
      <c r="E3" s="1"/>
    </row>
    <row r="4" spans="1:5" ht="15" customHeight="1" x14ac:dyDescent="0.25">
      <c r="A4" s="1"/>
      <c r="B4" s="106"/>
      <c r="C4" s="106"/>
      <c r="D4" s="106"/>
      <c r="E4" s="1"/>
    </row>
    <row r="5" spans="1:5" x14ac:dyDescent="0.25">
      <c r="A5" s="1"/>
      <c r="B5" s="107" t="s">
        <v>145</v>
      </c>
      <c r="C5" s="107"/>
      <c r="D5" s="107"/>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130</v>
      </c>
      <c r="C9" s="7">
        <f>'Fane 2.2. Økonomisk ramme 2026'!C14</f>
        <v>165285172.55547026</v>
      </c>
      <c r="D9" s="8" t="s">
        <v>3</v>
      </c>
      <c r="E9" s="1"/>
    </row>
    <row r="10" spans="1:5" ht="15" customHeight="1" x14ac:dyDescent="0.25">
      <c r="A10" s="1"/>
      <c r="B10" s="26" t="s">
        <v>19</v>
      </c>
      <c r="C10" s="7">
        <f>SUM(C9:C9)*'Fane 15. Nøgletal'!C10</f>
        <v>10958406.940427678</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-1290576.8249004767</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174953002.67099747</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4233854.7897991519</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driftsomk.'!C24</f>
        <v>0</v>
      </c>
      <c r="D18" s="11" t="s">
        <v>3</v>
      </c>
      <c r="E18" s="1"/>
    </row>
    <row r="19" spans="1:5" ht="15" customHeight="1" x14ac:dyDescent="0.25">
      <c r="A19" s="1"/>
      <c r="B19" s="33" t="s">
        <v>70</v>
      </c>
      <c r="C19" s="28"/>
      <c r="D19" s="19"/>
      <c r="E19" s="1"/>
    </row>
    <row r="20" spans="1:5" ht="15" customHeight="1" x14ac:dyDescent="0.25">
      <c r="A20" s="1"/>
      <c r="B20" s="31" t="s">
        <v>80</v>
      </c>
      <c r="C20" s="10">
        <f>'Fane 7. Kontrol af ØR2023'!C33</f>
        <v>0</v>
      </c>
      <c r="D20" s="11" t="s">
        <v>3</v>
      </c>
      <c r="E20" s="1"/>
    </row>
    <row r="21" spans="1:5" x14ac:dyDescent="0.25">
      <c r="A21" s="1"/>
      <c r="B21" s="30" t="s">
        <v>76</v>
      </c>
      <c r="C21" s="28"/>
      <c r="D21" s="19"/>
      <c r="E21" s="1"/>
    </row>
    <row r="22" spans="1:5" x14ac:dyDescent="0.25">
      <c r="A22" s="1"/>
      <c r="B22" s="68" t="s">
        <v>77</v>
      </c>
      <c r="C22" s="10">
        <f>'Fane 8. Skattesagen'!C16</f>
        <v>0</v>
      </c>
      <c r="D22" s="11" t="s">
        <v>3</v>
      </c>
      <c r="E22" s="1"/>
    </row>
    <row r="23" spans="1:5" x14ac:dyDescent="0.25">
      <c r="A23" s="1"/>
      <c r="B23" s="33" t="s">
        <v>131</v>
      </c>
      <c r="C23" s="12">
        <f>SUM(C14,C16,C18,C20,C22)</f>
        <v>179186857.46079662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tL5ZMq2/zUy/TUr4oanNQ1900ZZFrU7oIOtM+0rieStVtHBMkM89yQbJiMqpJ4Xg+YHxActwTuXaOlFp5uNmnQ==" saltValue="RecA9gc1C2kGQ90RyyFAw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159</v>
      </c>
      <c r="C3" s="106"/>
      <c r="D3" s="106"/>
      <c r="E3" s="1"/>
    </row>
    <row r="4" spans="1:5" ht="15" customHeight="1" x14ac:dyDescent="0.25">
      <c r="A4" s="1"/>
      <c r="B4" s="106"/>
      <c r="C4" s="106"/>
      <c r="D4" s="106"/>
      <c r="E4" s="1"/>
    </row>
    <row r="5" spans="1:5" x14ac:dyDescent="0.25">
      <c r="A5" s="1"/>
      <c r="B5" s="107" t="s">
        <v>145</v>
      </c>
      <c r="C5" s="107"/>
      <c r="D5" s="107"/>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160</v>
      </c>
      <c r="C9" s="7">
        <f>'Fane 2.3. Økonomisk ramme 2027'!C14</f>
        <v>174953002.67099747</v>
      </c>
      <c r="D9" s="8" t="s">
        <v>3</v>
      </c>
      <c r="E9" s="1"/>
    </row>
    <row r="10" spans="1:5" ht="15" customHeight="1" x14ac:dyDescent="0.25">
      <c r="A10" s="1"/>
      <c r="B10" s="26" t="s">
        <v>19</v>
      </c>
      <c r="C10" s="7">
        <f>SUM(C9:C9)*'Fane 15. Nøgletal'!C10</f>
        <v>11599384.077087132</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-1348619.2270235505</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185203767.52106106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4514559.3623628365</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driftsomk.'!C30</f>
        <v>0</v>
      </c>
      <c r="D18" s="11" t="s">
        <v>3</v>
      </c>
      <c r="E18" s="1"/>
    </row>
    <row r="19" spans="1:5" x14ac:dyDescent="0.25">
      <c r="A19" s="1"/>
      <c r="B19" s="30" t="s">
        <v>76</v>
      </c>
      <c r="C19" s="28"/>
      <c r="D19" s="19"/>
      <c r="E19" s="1"/>
    </row>
    <row r="20" spans="1:5" x14ac:dyDescent="0.25">
      <c r="A20" s="1"/>
      <c r="B20" s="68" t="s">
        <v>77</v>
      </c>
      <c r="C20" s="10">
        <f>'Fane 8. Skattesagen'!C17</f>
        <v>0</v>
      </c>
      <c r="D20" s="11" t="s">
        <v>3</v>
      </c>
      <c r="E20" s="1"/>
    </row>
    <row r="21" spans="1:5" x14ac:dyDescent="0.25">
      <c r="A21" s="1"/>
      <c r="B21" s="33" t="s">
        <v>161</v>
      </c>
      <c r="C21" s="12">
        <f>SUM(C14,C16,C18,C20)</f>
        <v>189718326.88342389</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KoyhdRFeB9lscW6rq2r82JP4SaBSqOopAFhrK8tks9uiCsXJrZTp95s+540OBYWbXVuD9nKgN4d6k3aYZZTgA==" saltValue="TsBPfLWfN3xpuShIAqTnT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XFD55"/>
  <sheetViews>
    <sheetView showGridLines="0" zoomScaleNormal="100" workbookViewId="0"/>
  </sheetViews>
  <sheetFormatPr defaultColWidth="0" defaultRowHeight="15" zeroHeight="1"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12" t="s">
        <v>162</v>
      </c>
      <c r="C3" s="112"/>
      <c r="D3" s="112"/>
      <c r="E3" s="1"/>
    </row>
    <row r="4" spans="1:5" ht="15" customHeight="1" x14ac:dyDescent="0.25">
      <c r="A4" s="1"/>
      <c r="B4" s="112"/>
      <c r="C4" s="112"/>
      <c r="D4" s="112"/>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163</v>
      </c>
      <c r="C8" s="28"/>
      <c r="D8" s="19"/>
      <c r="E8" s="1"/>
    </row>
    <row r="9" spans="1:5" ht="15" customHeight="1" x14ac:dyDescent="0.25">
      <c r="A9" s="1"/>
      <c r="B9" s="29" t="s">
        <v>65</v>
      </c>
      <c r="C9" s="7">
        <v>122219594.9102453</v>
      </c>
      <c r="D9" s="8" t="s">
        <v>3</v>
      </c>
      <c r="E9" s="1"/>
    </row>
    <row r="10" spans="1:5" ht="15" customHeight="1" x14ac:dyDescent="0.25">
      <c r="A10" s="1"/>
      <c r="B10" s="65" t="s">
        <v>35</v>
      </c>
      <c r="C10" s="63">
        <v>965543.48800000001</v>
      </c>
      <c r="D10" s="8" t="s">
        <v>3</v>
      </c>
      <c r="E10" s="1"/>
    </row>
    <row r="11" spans="1:5" ht="15" customHeight="1" x14ac:dyDescent="0.25">
      <c r="A11" s="1"/>
      <c r="B11" s="65" t="s">
        <v>36</v>
      </c>
      <c r="C11" s="63">
        <v>3025910.5937759997</v>
      </c>
      <c r="D11" s="8" t="s">
        <v>3</v>
      </c>
      <c r="E11" s="1"/>
    </row>
    <row r="12" spans="1:5" ht="15" customHeight="1" x14ac:dyDescent="0.25">
      <c r="A12" s="1"/>
      <c r="B12" s="65" t="s">
        <v>25</v>
      </c>
      <c r="C12" s="9">
        <v>0</v>
      </c>
      <c r="D12" s="8" t="s">
        <v>3</v>
      </c>
      <c r="E12" s="1"/>
    </row>
    <row r="13" spans="1:5" ht="15" customHeight="1" x14ac:dyDescent="0.25">
      <c r="A13" s="1"/>
      <c r="B13" s="65" t="s">
        <v>24</v>
      </c>
      <c r="C13" s="9">
        <v>0</v>
      </c>
      <c r="D13" s="8" t="s">
        <v>3</v>
      </c>
      <c r="E13" s="1"/>
    </row>
    <row r="14" spans="1:5" ht="15" customHeight="1" x14ac:dyDescent="0.25">
      <c r="A14" s="1"/>
      <c r="B14" s="65" t="s">
        <v>63</v>
      </c>
      <c r="C14" s="9">
        <v>0</v>
      </c>
      <c r="D14" s="8" t="s">
        <v>3</v>
      </c>
      <c r="E14" s="1"/>
    </row>
    <row r="15" spans="1:5" ht="15" customHeight="1" x14ac:dyDescent="0.25">
      <c r="A15" s="1"/>
      <c r="B15" s="65" t="s">
        <v>64</v>
      </c>
      <c r="C15" s="9">
        <v>0</v>
      </c>
      <c r="D15" s="8" t="s">
        <v>3</v>
      </c>
      <c r="E15" s="1"/>
    </row>
    <row r="16" spans="1:5" ht="15" customHeight="1" x14ac:dyDescent="0.25">
      <c r="A16" s="1"/>
      <c r="B16" s="65" t="s">
        <v>19</v>
      </c>
      <c r="C16" s="9">
        <v>10197852.758555321</v>
      </c>
      <c r="D16" s="8" t="s">
        <v>3</v>
      </c>
      <c r="E16" s="1"/>
    </row>
    <row r="17" spans="1:5" ht="15" customHeight="1" x14ac:dyDescent="0.25">
      <c r="A17" s="1"/>
      <c r="B17" s="65" t="s">
        <v>10</v>
      </c>
      <c r="C17" s="9">
        <v>0</v>
      </c>
      <c r="D17" s="8" t="s">
        <v>3</v>
      </c>
      <c r="E17" s="1"/>
    </row>
    <row r="18" spans="1:5" ht="15" customHeight="1" x14ac:dyDescent="0.25">
      <c r="A18" s="1"/>
      <c r="B18" s="65" t="s">
        <v>22</v>
      </c>
      <c r="C18" s="9">
        <v>-933567.2352844174</v>
      </c>
      <c r="D18" s="8" t="s">
        <v>3</v>
      </c>
      <c r="E18" s="43"/>
    </row>
    <row r="19" spans="1:5" ht="15" customHeight="1" x14ac:dyDescent="0.25">
      <c r="A19" s="1"/>
      <c r="B19" s="65" t="s">
        <v>23</v>
      </c>
      <c r="C19" s="9">
        <v>0</v>
      </c>
      <c r="D19" s="8" t="s">
        <v>3</v>
      </c>
      <c r="E19" s="1"/>
    </row>
    <row r="20" spans="1:5" ht="15" customHeight="1" x14ac:dyDescent="0.25">
      <c r="A20" s="1"/>
      <c r="B20" s="83" t="s">
        <v>21</v>
      </c>
      <c r="C20" s="10">
        <v>135475334.5152922</v>
      </c>
      <c r="D20" s="11" t="s">
        <v>3</v>
      </c>
      <c r="E20" s="1"/>
    </row>
    <row r="21" spans="1:5" ht="15" customHeight="1" x14ac:dyDescent="0.25">
      <c r="A21" s="1"/>
      <c r="B21" s="33" t="s">
        <v>12</v>
      </c>
      <c r="C21" s="28"/>
      <c r="D21" s="19"/>
      <c r="E21" s="1"/>
    </row>
    <row r="22" spans="1:5" ht="15" customHeight="1" x14ac:dyDescent="0.25">
      <c r="A22" s="1"/>
      <c r="B22" s="31" t="s">
        <v>12</v>
      </c>
      <c r="C22" s="10">
        <v>3286496.0529094399</v>
      </c>
      <c r="D22" s="11" t="s">
        <v>3</v>
      </c>
      <c r="E22" s="1"/>
    </row>
    <row r="23" spans="1:5" ht="15" customHeight="1" x14ac:dyDescent="0.25">
      <c r="A23" s="1"/>
      <c r="B23" s="33" t="s">
        <v>43</v>
      </c>
      <c r="C23" s="28"/>
      <c r="D23" s="19"/>
      <c r="E23" s="1"/>
    </row>
    <row r="24" spans="1:5" ht="15" customHeight="1" x14ac:dyDescent="0.25">
      <c r="A24" s="1"/>
      <c r="B24" s="83" t="s">
        <v>43</v>
      </c>
      <c r="C24" s="10">
        <v>0</v>
      </c>
      <c r="D24" s="11" t="s">
        <v>3</v>
      </c>
      <c r="E24" s="1"/>
    </row>
    <row r="25" spans="1:5" x14ac:dyDescent="0.25">
      <c r="A25" s="1"/>
      <c r="B25" s="33" t="s">
        <v>42</v>
      </c>
      <c r="C25" s="28"/>
      <c r="D25" s="19"/>
      <c r="E25" s="1"/>
    </row>
    <row r="26" spans="1:5" ht="15" customHeight="1" x14ac:dyDescent="0.25">
      <c r="A26" s="1"/>
      <c r="B26" s="65" t="s">
        <v>38</v>
      </c>
      <c r="C26" s="9">
        <v>1127314.2253184</v>
      </c>
      <c r="D26" s="8" t="s">
        <v>3</v>
      </c>
      <c r="E26" s="1"/>
    </row>
    <row r="27" spans="1:5" ht="15" customHeight="1" x14ac:dyDescent="0.25">
      <c r="A27" s="1"/>
      <c r="B27" s="65" t="s">
        <v>39</v>
      </c>
      <c r="C27" s="9">
        <v>0</v>
      </c>
      <c r="D27" s="8" t="s">
        <v>3</v>
      </c>
      <c r="E27" s="1"/>
    </row>
    <row r="28" spans="1:5" ht="15" customHeight="1" x14ac:dyDescent="0.25">
      <c r="A28" s="1"/>
      <c r="B28" s="65" t="s">
        <v>226</v>
      </c>
      <c r="C28" s="9">
        <v>-22546.284506368</v>
      </c>
      <c r="D28" s="8" t="s">
        <v>3</v>
      </c>
      <c r="E28" s="1"/>
    </row>
    <row r="29" spans="1:5" ht="15" customHeight="1" x14ac:dyDescent="0.25">
      <c r="A29" s="1"/>
      <c r="B29" s="72" t="s">
        <v>227</v>
      </c>
      <c r="C29" s="9">
        <v>0</v>
      </c>
      <c r="D29" s="8" t="s">
        <v>3</v>
      </c>
      <c r="E29" s="1"/>
    </row>
    <row r="30" spans="1:5" ht="15" customHeight="1" x14ac:dyDescent="0.25">
      <c r="A30" s="1"/>
      <c r="B30" s="83" t="s">
        <v>44</v>
      </c>
      <c r="C30" s="10">
        <v>1104767.940812032</v>
      </c>
      <c r="D30" s="11" t="s">
        <v>3</v>
      </c>
      <c r="E30" s="1"/>
    </row>
    <row r="31" spans="1:5" ht="15" customHeight="1" x14ac:dyDescent="0.25">
      <c r="A31" s="1"/>
      <c r="B31" s="33" t="s">
        <v>129</v>
      </c>
      <c r="C31" s="28"/>
      <c r="D31" s="19"/>
      <c r="E31" s="1"/>
    </row>
    <row r="32" spans="1:5" ht="15" customHeight="1" x14ac:dyDescent="0.25">
      <c r="A32" s="1"/>
      <c r="B32" s="31" t="s">
        <v>129</v>
      </c>
      <c r="C32" s="10">
        <v>0</v>
      </c>
      <c r="D32" s="11" t="s">
        <v>3</v>
      </c>
      <c r="E32" s="1"/>
    </row>
    <row r="33" spans="1:16384" x14ac:dyDescent="0.25">
      <c r="A33" s="1"/>
      <c r="B33" s="33" t="s">
        <v>70</v>
      </c>
      <c r="C33" s="28"/>
      <c r="D33" s="19"/>
      <c r="E33" s="1"/>
    </row>
    <row r="34" spans="1:16384" ht="15.4" customHeight="1" x14ac:dyDescent="0.25">
      <c r="A34" s="1"/>
      <c r="B34" s="31" t="s">
        <v>80</v>
      </c>
      <c r="C34" s="10">
        <v>-6946856.9308603629</v>
      </c>
      <c r="D34" s="11" t="s">
        <v>3</v>
      </c>
      <c r="E34" s="1"/>
    </row>
    <row r="35" spans="1:16384" ht="15.4" customHeight="1" x14ac:dyDescent="0.25">
      <c r="A35" s="1"/>
      <c r="B35" s="109" t="s">
        <v>76</v>
      </c>
      <c r="C35" s="110"/>
      <c r="D35" s="111"/>
      <c r="E35" s="1"/>
    </row>
    <row r="36" spans="1:16384" x14ac:dyDescent="0.25">
      <c r="A36" s="1"/>
      <c r="B36" s="68" t="s">
        <v>77</v>
      </c>
      <c r="C36" s="10">
        <v>0</v>
      </c>
      <c r="D36" s="11" t="s">
        <v>3</v>
      </c>
      <c r="E36" s="1"/>
    </row>
    <row r="37" spans="1:16384" x14ac:dyDescent="0.25">
      <c r="A37" s="1"/>
      <c r="B37" s="30" t="s">
        <v>214</v>
      </c>
      <c r="C37" s="28"/>
      <c r="D37" s="19"/>
      <c r="E37" s="1"/>
    </row>
    <row r="38" spans="1:16384" x14ac:dyDescent="0.25">
      <c r="A38" s="1"/>
      <c r="B38" s="68" t="s">
        <v>215</v>
      </c>
      <c r="C38" s="10">
        <v>1070141.7662410936</v>
      </c>
      <c r="D38" s="11" t="s">
        <v>3</v>
      </c>
      <c r="E38" s="1"/>
    </row>
    <row r="39" spans="1:16384" x14ac:dyDescent="0.25">
      <c r="A39" s="1"/>
      <c r="B39" s="33" t="s">
        <v>66</v>
      </c>
      <c r="C39" s="12">
        <v>133989883.34439437</v>
      </c>
      <c r="D39" s="13" t="s">
        <v>3</v>
      </c>
      <c r="E39" s="1"/>
    </row>
    <row r="40" spans="1:16384" ht="30" customHeight="1" x14ac:dyDescent="0.25">
      <c r="A40" s="1"/>
      <c r="B40" s="108" t="s">
        <v>228</v>
      </c>
      <c r="C40" s="108"/>
      <c r="D40" s="108"/>
      <c r="E40" s="1"/>
    </row>
    <row r="41" spans="1:16384" x14ac:dyDescent="0.25">
      <c r="A41" s="1"/>
      <c r="B41" s="1"/>
      <c r="C41" s="1"/>
      <c r="D41" s="1"/>
      <c r="E41" s="1"/>
    </row>
    <row r="42" spans="1:16384" x14ac:dyDescent="0.25">
      <c r="A42" s="1"/>
      <c r="B42" s="1"/>
      <c r="C42" s="1"/>
      <c r="D42" s="1"/>
      <c r="E42" s="1"/>
    </row>
    <row r="43" spans="1:16384" x14ac:dyDescent="0.25">
      <c r="A43" s="1"/>
      <c r="B43" s="1"/>
      <c r="C43" s="1"/>
      <c r="D43" s="1"/>
      <c r="E43" s="1"/>
    </row>
    <row r="44" spans="1:16384" x14ac:dyDescent="0.25">
      <c r="A44" s="1"/>
      <c r="B44" s="1"/>
      <c r="C44" s="1"/>
      <c r="D44" s="1"/>
      <c r="E44" s="1"/>
    </row>
    <row r="45" spans="1:16384" ht="14.25" customHeight="1" x14ac:dyDescent="0.25">
      <c r="A45" s="1"/>
      <c r="B45" s="1"/>
      <c r="C45" s="1"/>
      <c r="D45" s="1"/>
      <c r="E45" s="1"/>
    </row>
    <row r="46" spans="1:16384" x14ac:dyDescent="0.25">
      <c r="A46" s="1"/>
      <c r="B46" s="1"/>
      <c r="C46" s="1"/>
      <c r="D46" s="1"/>
      <c r="E46" s="1"/>
    </row>
    <row r="47" spans="1:16384" x14ac:dyDescent="0.25">
      <c r="A47" s="1"/>
      <c r="B47" s="1"/>
      <c r="C47" s="1"/>
      <c r="D47" s="1"/>
      <c r="E47" s="1"/>
    </row>
    <row r="48" spans="1:163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c r="XFD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v0wjLxFNde7s353CrH229ksCCYc0pIdDae7x7n/TrEWnbM+HIW7XJJHP53naXM1c4J+zM1kv7/cnTq6bcgwYZQ==" saltValue="O1JnmAWmTGFwHCBPFiU9zg==" spinCount="100000" sheet="1" objects="1" scenarios="1"/>
  <mergeCells count="3">
    <mergeCell ref="B40:D40"/>
    <mergeCell ref="B35:D35"/>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12" t="s">
        <v>57</v>
      </c>
      <c r="C3" s="112"/>
      <c r="D3" s="112"/>
      <c r="E3" s="1"/>
    </row>
    <row r="4" spans="1:5" ht="15" customHeight="1" x14ac:dyDescent="0.25">
      <c r="A4" s="1"/>
      <c r="B4" s="112"/>
      <c r="C4" s="112"/>
      <c r="D4" s="112"/>
      <c r="E4" s="1"/>
    </row>
    <row r="5" spans="1:5" ht="15" customHeight="1" x14ac:dyDescent="0.25">
      <c r="A5" s="1"/>
      <c r="B5" s="112"/>
      <c r="C5" s="112"/>
      <c r="D5" s="112"/>
      <c r="E5" s="1"/>
    </row>
    <row r="6" spans="1:5" ht="15" customHeight="1" x14ac:dyDescent="0.25">
      <c r="A6" s="1"/>
      <c r="B6" s="76"/>
      <c r="C6" s="76"/>
      <c r="D6" s="76"/>
      <c r="E6" s="1"/>
    </row>
    <row r="7" spans="1:5" x14ac:dyDescent="0.25">
      <c r="A7" s="1"/>
      <c r="B7" s="1"/>
      <c r="C7" s="1"/>
      <c r="D7" s="1"/>
      <c r="E7" s="1"/>
    </row>
    <row r="8" spans="1:5" x14ac:dyDescent="0.25">
      <c r="A8" s="1"/>
      <c r="B8" s="113" t="s">
        <v>124</v>
      </c>
      <c r="C8" s="114"/>
      <c r="D8" s="115"/>
      <c r="E8" s="1"/>
    </row>
    <row r="9" spans="1:5" x14ac:dyDescent="0.25">
      <c r="A9" s="1"/>
      <c r="B9" s="66" t="s">
        <v>89</v>
      </c>
      <c r="C9" s="23">
        <v>45634802.362390451</v>
      </c>
      <c r="D9" s="14" t="s">
        <v>3</v>
      </c>
      <c r="E9" s="1"/>
    </row>
    <row r="10" spans="1:5" x14ac:dyDescent="0.25">
      <c r="A10" s="1"/>
      <c r="B10" s="66" t="s">
        <v>126</v>
      </c>
      <c r="C10" s="23">
        <f>('Fane 3. Omkostninger i ØR2024'!C10+'Fane 3. Omkostninger i ØR2024'!C12+'Fane 3. Omkostninger i ØR2024'!C14)*(1+'Fane 15. Nøgletal'!C9)</f>
        <v>1043559.4018304</v>
      </c>
      <c r="D10" s="14" t="s">
        <v>3</v>
      </c>
      <c r="E10" s="1"/>
    </row>
    <row r="11" spans="1:5" x14ac:dyDescent="0.25">
      <c r="A11" s="1"/>
      <c r="B11" s="66" t="s">
        <v>132</v>
      </c>
      <c r="C11" s="23">
        <f>C9*'Fane 15. Nøgletal'!C21+C10*'Fane 15. Nøgletal'!C21</f>
        <v>933567.23528441705</v>
      </c>
      <c r="D11" s="14" t="s">
        <v>3</v>
      </c>
      <c r="E11" s="1"/>
    </row>
    <row r="12" spans="1:5" x14ac:dyDescent="0.25">
      <c r="A12" s="1"/>
      <c r="B12" s="33"/>
      <c r="C12" s="28"/>
      <c r="D12" s="19"/>
      <c r="E12" s="1"/>
    </row>
    <row r="13" spans="1:5" x14ac:dyDescent="0.25">
      <c r="A13" s="1"/>
      <c r="B13" s="1"/>
      <c r="C13" s="1"/>
      <c r="D13" s="1"/>
      <c r="E13" s="1"/>
    </row>
    <row r="14" spans="1:5" x14ac:dyDescent="0.25">
      <c r="A14" s="1"/>
      <c r="B14" s="113" t="s">
        <v>125</v>
      </c>
      <c r="C14" s="114"/>
      <c r="D14" s="115"/>
      <c r="E14" s="1"/>
    </row>
    <row r="15" spans="1:5" x14ac:dyDescent="0.25">
      <c r="A15" s="1"/>
      <c r="B15" s="66" t="s">
        <v>134</v>
      </c>
      <c r="C15" s="23">
        <f>(C9+C10-C11)*(1+'Fane 15. Nøgletal'!C9)</f>
        <v>49440973.926874496</v>
      </c>
      <c r="D15" s="14" t="s">
        <v>3</v>
      </c>
      <c r="E15" s="1"/>
    </row>
    <row r="16" spans="1:5" x14ac:dyDescent="0.25">
      <c r="A16" s="1"/>
      <c r="B16" s="66" t="s">
        <v>185</v>
      </c>
      <c r="C16" s="23">
        <f>('Fane 2.1. Økonomisk ramme 2025'!C10+'Fane 2.1. Økonomisk ramme 2025'!C12+'Fane 2.1. Økonomisk ramme 2025'!C14)*(1+'Fane 15. Nøgletal'!C10)</f>
        <v>9652959.2426085807</v>
      </c>
      <c r="D16" s="14" t="s">
        <v>3</v>
      </c>
      <c r="E16" s="1"/>
    </row>
    <row r="17" spans="1:5" x14ac:dyDescent="0.25">
      <c r="A17" s="1"/>
      <c r="B17" s="66" t="s">
        <v>133</v>
      </c>
      <c r="C17" s="23">
        <f>C15*'Fane 15. Nøgletal'!C21+C16*'Fane 15. Nøgletal'!C21</f>
        <v>1181878.6633896616</v>
      </c>
      <c r="D17" s="14" t="s">
        <v>3</v>
      </c>
      <c r="E17" s="1"/>
    </row>
    <row r="18" spans="1:5" x14ac:dyDescent="0.25">
      <c r="A18" s="1"/>
      <c r="B18" s="33"/>
      <c r="C18" s="28"/>
      <c r="D18" s="19"/>
      <c r="E18" s="1"/>
    </row>
    <row r="19" spans="1:5" x14ac:dyDescent="0.25">
      <c r="A19" s="1"/>
      <c r="B19" s="1"/>
      <c r="C19" s="64"/>
      <c r="D19" s="1"/>
      <c r="E19" s="1"/>
    </row>
    <row r="20" spans="1:5" x14ac:dyDescent="0.25">
      <c r="A20" s="1"/>
      <c r="B20" s="113" t="s">
        <v>146</v>
      </c>
      <c r="C20" s="114"/>
      <c r="D20" s="115"/>
      <c r="E20" s="1"/>
    </row>
    <row r="21" spans="1:5" x14ac:dyDescent="0.25">
      <c r="A21" s="1"/>
      <c r="B21" s="66" t="s">
        <v>190</v>
      </c>
      <c r="C21" s="23">
        <f>(C15+C16-C17)*(1+'Fane 15. Nøgletal'!C10)</f>
        <v>61751623.719847418</v>
      </c>
      <c r="D21" s="14" t="s">
        <v>3</v>
      </c>
      <c r="E21" s="1"/>
    </row>
    <row r="22" spans="1:5" x14ac:dyDescent="0.25">
      <c r="A22" s="1"/>
      <c r="B22" s="66" t="s">
        <v>197</v>
      </c>
      <c r="C22" s="23">
        <f>C21*'Fane 15. Nøgletal'!C21</f>
        <v>1235032.4743969485</v>
      </c>
      <c r="D22" s="14" t="s">
        <v>3</v>
      </c>
      <c r="E22" s="1"/>
    </row>
    <row r="23" spans="1:5" x14ac:dyDescent="0.25">
      <c r="A23" s="1"/>
      <c r="B23" s="33"/>
      <c r="C23" s="28"/>
      <c r="D23" s="19"/>
      <c r="E23" s="1"/>
    </row>
    <row r="24" spans="1:5" x14ac:dyDescent="0.25">
      <c r="A24" s="1"/>
      <c r="B24" s="1"/>
      <c r="C24" s="1"/>
      <c r="D24" s="1"/>
      <c r="E24" s="1"/>
    </row>
    <row r="25" spans="1:5" x14ac:dyDescent="0.25">
      <c r="A25" s="1"/>
      <c r="B25" s="113" t="s">
        <v>188</v>
      </c>
      <c r="C25" s="114"/>
      <c r="D25" s="115"/>
      <c r="E25" s="1"/>
    </row>
    <row r="26" spans="1:5" x14ac:dyDescent="0.25">
      <c r="A26" s="1"/>
      <c r="B26" s="66" t="s">
        <v>191</v>
      </c>
      <c r="C26" s="23">
        <f>(C21-C22)*(1+'Fane 15. Nøgletal'!C10)</f>
        <v>64528841.245023832</v>
      </c>
      <c r="D26" s="14" t="s">
        <v>3</v>
      </c>
      <c r="E26" s="1"/>
    </row>
    <row r="27" spans="1:5" x14ac:dyDescent="0.25">
      <c r="A27" s="1"/>
      <c r="B27" s="66" t="s">
        <v>195</v>
      </c>
      <c r="C27" s="23">
        <f>C26*'Fane 15. Nøgletal'!C21</f>
        <v>1290576.8249004767</v>
      </c>
      <c r="D27" s="14" t="s">
        <v>3</v>
      </c>
      <c r="E27" s="1"/>
    </row>
    <row r="28" spans="1:5" x14ac:dyDescent="0.25">
      <c r="A28" s="1"/>
      <c r="B28" s="33"/>
      <c r="C28" s="28"/>
      <c r="D28" s="19"/>
      <c r="E28" s="1"/>
    </row>
    <row r="29" spans="1:5" x14ac:dyDescent="0.25">
      <c r="A29" s="1"/>
      <c r="B29" s="1"/>
      <c r="C29" s="1"/>
      <c r="D29" s="1"/>
      <c r="E29" s="1"/>
    </row>
    <row r="30" spans="1:5" x14ac:dyDescent="0.25">
      <c r="A30" s="1"/>
      <c r="B30" s="113" t="s">
        <v>189</v>
      </c>
      <c r="C30" s="114"/>
      <c r="D30" s="115"/>
      <c r="E30" s="1"/>
    </row>
    <row r="31" spans="1:5" x14ac:dyDescent="0.25">
      <c r="A31" s="1"/>
      <c r="B31" s="66" t="s">
        <v>192</v>
      </c>
      <c r="C31" s="23">
        <f>(C26-C27)*(1+'Fane 15. Nøgletal'!C10)</f>
        <v>67430961.351177529</v>
      </c>
      <c r="D31" s="14" t="s">
        <v>3</v>
      </c>
      <c r="E31" s="1"/>
    </row>
    <row r="32" spans="1:5" x14ac:dyDescent="0.25">
      <c r="A32" s="1"/>
      <c r="B32" s="66" t="s">
        <v>196</v>
      </c>
      <c r="C32" s="23">
        <f>C31*'Fane 15. Nøgletal'!C21</f>
        <v>1348619.2270235505</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a27MpbguomCzogr1ngX3H4RaD7gwBdz9hpTZILrOR3JARXs2foWiGvpvUIvaJJ/u/TPySEQRkHM6rodP9Zn8lA==" saltValue="5QMtTPJc+4xUzh1LTvn/ig=="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70"/>
      <c r="C1" s="70"/>
      <c r="D1" s="70"/>
      <c r="E1" s="1"/>
    </row>
    <row r="2" spans="1:5" ht="15" customHeight="1" x14ac:dyDescent="0.35">
      <c r="A2" s="1"/>
      <c r="B2" s="70"/>
      <c r="C2" s="70"/>
      <c r="D2" s="70"/>
      <c r="E2" s="1"/>
    </row>
    <row r="3" spans="1:5" ht="15" customHeight="1" x14ac:dyDescent="0.25">
      <c r="A3" s="1"/>
      <c r="B3" s="116" t="s">
        <v>58</v>
      </c>
      <c r="C3" s="116"/>
      <c r="D3" s="116"/>
      <c r="E3" s="1"/>
    </row>
    <row r="4" spans="1:5" ht="15" customHeight="1" x14ac:dyDescent="0.25">
      <c r="A4" s="1"/>
      <c r="B4" s="116"/>
      <c r="C4" s="116"/>
      <c r="D4" s="116"/>
      <c r="E4" s="1"/>
    </row>
    <row r="5" spans="1:5" ht="15" customHeight="1" x14ac:dyDescent="0.25">
      <c r="A5" s="1"/>
      <c r="B5" s="116"/>
      <c r="C5" s="116"/>
      <c r="D5" s="116"/>
      <c r="E5" s="1"/>
    </row>
    <row r="6" spans="1:5" ht="15" customHeight="1" x14ac:dyDescent="0.35">
      <c r="A6" s="1"/>
      <c r="B6" s="70"/>
      <c r="C6" s="70"/>
      <c r="D6" s="70"/>
      <c r="E6" s="1"/>
    </row>
    <row r="7" spans="1:5" x14ac:dyDescent="0.25">
      <c r="A7" s="1"/>
      <c r="B7" s="1"/>
      <c r="C7" s="1"/>
      <c r="D7" s="1"/>
      <c r="E7" s="1"/>
    </row>
    <row r="8" spans="1:5" x14ac:dyDescent="0.25">
      <c r="A8" s="1"/>
      <c r="B8" s="113" t="s">
        <v>148</v>
      </c>
      <c r="C8" s="114"/>
      <c r="D8" s="115"/>
      <c r="E8" s="1"/>
    </row>
    <row r="9" spans="1:5" x14ac:dyDescent="0.25">
      <c r="A9" s="1"/>
      <c r="B9" s="66" t="s">
        <v>135</v>
      </c>
      <c r="C9" s="23">
        <v>86883625.760807768</v>
      </c>
      <c r="D9" s="14" t="s">
        <v>3</v>
      </c>
      <c r="E9" s="1"/>
    </row>
    <row r="10" spans="1:5" x14ac:dyDescent="0.25">
      <c r="A10" s="1"/>
      <c r="B10" s="66" t="s">
        <v>127</v>
      </c>
      <c r="C10" s="23">
        <f>('Fane 3. Omkostninger i ØR2024'!C11+'Fane 3. Omkostninger i ØR2024'!C13+'Fane 3. Omkostninger i ØR2024'!C15)*(1+'Fane 15. Nøgletal'!C9)</f>
        <v>3270404.1697531003</v>
      </c>
      <c r="D10" s="14" t="s">
        <v>3</v>
      </c>
      <c r="E10" s="1"/>
    </row>
    <row r="11" spans="1:5" x14ac:dyDescent="0.25">
      <c r="A11" s="1"/>
      <c r="B11" s="66" t="s">
        <v>136</v>
      </c>
      <c r="C11" s="84">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13" t="s">
        <v>147</v>
      </c>
      <c r="C14" s="114"/>
      <c r="D14" s="115"/>
      <c r="E14" s="1"/>
    </row>
    <row r="15" spans="1:5" x14ac:dyDescent="0.25">
      <c r="A15" s="1"/>
      <c r="B15" s="66" t="s">
        <v>137</v>
      </c>
      <c r="C15" s="23">
        <f>(C9+C10-C11)*(1+'Fane 15. Nøgletal'!C9)</f>
        <v>97438475.548950195</v>
      </c>
      <c r="D15" s="14" t="s">
        <v>3</v>
      </c>
      <c r="E15" s="1"/>
    </row>
    <row r="16" spans="1:5" x14ac:dyDescent="0.25">
      <c r="A16" s="1"/>
      <c r="B16" s="66" t="s">
        <v>186</v>
      </c>
      <c r="C16" s="23">
        <f>('Fane 2.1. Økonomisk ramme 2025'!C11+'Fane 2.1. Økonomisk ramme 2025'!C13+'Fane 2.1. Økonomisk ramme 2025'!C15)*(1+'Fane 15. Nøgletal'!C10)</f>
        <v>1273552.2833560701</v>
      </c>
      <c r="D16" s="14" t="s">
        <v>3</v>
      </c>
      <c r="E16" s="1"/>
    </row>
    <row r="17" spans="1:5" x14ac:dyDescent="0.25">
      <c r="A17" s="1"/>
      <c r="B17" s="66" t="s">
        <v>138</v>
      </c>
      <c r="C17" s="84">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13" t="s">
        <v>83</v>
      </c>
      <c r="C20" s="114"/>
      <c r="D20" s="115"/>
      <c r="E20" s="1"/>
    </row>
    <row r="21" spans="1:5" x14ac:dyDescent="0.25">
      <c r="A21" s="1"/>
      <c r="B21" s="66" t="s">
        <v>193</v>
      </c>
      <c r="C21" s="23">
        <f>(C15+C16-C17)*(1+'Fane 15. Nøgletal'!C10)</f>
        <v>105256635.27758817</v>
      </c>
      <c r="D21" s="14" t="s">
        <v>3</v>
      </c>
      <c r="E21" s="1"/>
    </row>
    <row r="22" spans="1:5" x14ac:dyDescent="0.25">
      <c r="A22" s="1"/>
      <c r="B22" s="66" t="s">
        <v>198</v>
      </c>
      <c r="C22" s="84">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13" t="s">
        <v>139</v>
      </c>
      <c r="C25" s="114"/>
      <c r="D25" s="115"/>
      <c r="E25" s="1"/>
    </row>
    <row r="26" spans="1:5" x14ac:dyDescent="0.25">
      <c r="A26" s="1"/>
      <c r="B26" s="66" t="s">
        <v>194</v>
      </c>
      <c r="C26" s="23">
        <f>(C21-C22)*(1+'Fane 15. Nøgletal'!C10)</f>
        <v>112235150.19649227</v>
      </c>
      <c r="D26" s="14" t="s">
        <v>3</v>
      </c>
      <c r="E26" s="1"/>
    </row>
    <row r="27" spans="1:5" x14ac:dyDescent="0.25">
      <c r="A27" s="1"/>
      <c r="B27" s="66" t="s">
        <v>199</v>
      </c>
      <c r="C27" s="84">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13" t="s">
        <v>164</v>
      </c>
      <c r="C30" s="114"/>
      <c r="D30" s="115"/>
      <c r="E30" s="1"/>
    </row>
    <row r="31" spans="1:5" x14ac:dyDescent="0.25">
      <c r="A31" s="1"/>
      <c r="B31" s="66" t="s">
        <v>201</v>
      </c>
      <c r="C31" s="23">
        <f>(C26-C27)*(1+'Fane 15. Nøgletal'!C10)</f>
        <v>119676340.65451971</v>
      </c>
      <c r="D31" s="14" t="s">
        <v>3</v>
      </c>
      <c r="E31" s="1"/>
    </row>
    <row r="32" spans="1:5" x14ac:dyDescent="0.25">
      <c r="A32" s="1"/>
      <c r="B32" s="66" t="s">
        <v>200</v>
      </c>
      <c r="C32" s="84">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CdE1A/QSu8QIKq0DWySmouopOfXct3Jg30F1jF9He0w3QQGyRaWy//k+dZmIPiqlpfX6clrOd93lHNh0IgAg==" saltValue="U+NMpjO5X3cUfamDr5beSQ=="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45</v>
      </c>
      <c r="C3" s="106"/>
      <c r="D3" s="1"/>
    </row>
    <row r="4" spans="1:4" ht="15" customHeight="1" x14ac:dyDescent="0.25">
      <c r="A4" s="1"/>
      <c r="B4" s="106"/>
      <c r="C4" s="106"/>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13" t="s">
        <v>10</v>
      </c>
      <c r="C8" s="115"/>
      <c r="D8" s="1"/>
    </row>
    <row r="9" spans="1:4" x14ac:dyDescent="0.25">
      <c r="A9" s="1"/>
      <c r="B9" s="66" t="s">
        <v>165</v>
      </c>
      <c r="C9" s="22">
        <v>0</v>
      </c>
      <c r="D9" s="1"/>
    </row>
    <row r="10" spans="1:4" x14ac:dyDescent="0.25">
      <c r="A10" s="1"/>
      <c r="B10" s="33"/>
      <c r="C10" s="19"/>
      <c r="D10" s="1"/>
    </row>
    <row r="11" spans="1:4" x14ac:dyDescent="0.25">
      <c r="A11" s="1"/>
      <c r="B11" s="117" t="s">
        <v>221</v>
      </c>
      <c r="C11" s="118"/>
      <c r="D11" s="1"/>
    </row>
    <row r="12" spans="1:4" x14ac:dyDescent="0.25">
      <c r="A12" s="1"/>
      <c r="B12" s="119"/>
      <c r="C12" s="120"/>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1LlCAMJVlk7opYhi+cO4nb+Ysghpl3tEcubVbeMfcCtsoxRfrHvMKjStFQSMUbjtU2ociGJE8+hFEeWhqvfADg==" saltValue="/oOlz/0XuKy+6NAh7PmdEQ=="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59</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13" t="s">
        <v>166</v>
      </c>
      <c r="C8" s="114"/>
      <c r="D8" s="115"/>
      <c r="E8" s="1"/>
    </row>
    <row r="9" spans="1:5" ht="15" customHeight="1" x14ac:dyDescent="0.25">
      <c r="A9" s="1"/>
      <c r="B9" s="27" t="s">
        <v>28</v>
      </c>
      <c r="C9" s="68" t="s">
        <v>167</v>
      </c>
      <c r="D9" s="11"/>
      <c r="E9" s="1"/>
    </row>
    <row r="10" spans="1:5" ht="15" customHeight="1" x14ac:dyDescent="0.25">
      <c r="A10" s="1"/>
      <c r="B10" s="73" t="s">
        <v>242</v>
      </c>
      <c r="C10" s="74">
        <v>1815533</v>
      </c>
      <c r="D10" s="14" t="s">
        <v>3</v>
      </c>
      <c r="E10" s="1"/>
    </row>
    <row r="11" spans="1:5" ht="15" customHeight="1" x14ac:dyDescent="0.25">
      <c r="A11" s="1"/>
      <c r="B11" s="73" t="s">
        <v>243</v>
      </c>
      <c r="C11" s="74">
        <v>118759</v>
      </c>
      <c r="D11" s="14" t="s">
        <v>3</v>
      </c>
      <c r="E11" s="1"/>
    </row>
    <row r="12" spans="1:5" ht="25.5" x14ac:dyDescent="0.25">
      <c r="A12" s="1"/>
      <c r="B12" s="73" t="s">
        <v>244</v>
      </c>
      <c r="C12" s="74">
        <v>489000</v>
      </c>
      <c r="D12" s="14" t="s">
        <v>3</v>
      </c>
      <c r="E12" s="1"/>
    </row>
    <row r="13" spans="1:5" x14ac:dyDescent="0.25">
      <c r="A13" s="1"/>
      <c r="B13" s="73" t="s">
        <v>245</v>
      </c>
      <c r="C13" s="74">
        <v>315268.17</v>
      </c>
      <c r="D13" s="14" t="s">
        <v>3</v>
      </c>
      <c r="E13" s="1"/>
    </row>
    <row r="14" spans="1:5" x14ac:dyDescent="0.25">
      <c r="A14" s="1"/>
      <c r="B14" s="73" t="s">
        <v>246</v>
      </c>
      <c r="C14" s="74">
        <v>507260</v>
      </c>
      <c r="D14" s="14" t="s">
        <v>3</v>
      </c>
      <c r="E14" s="1"/>
    </row>
    <row r="15" spans="1:5" x14ac:dyDescent="0.25">
      <c r="A15" s="1"/>
      <c r="B15" s="73" t="s">
        <v>247</v>
      </c>
      <c r="C15" s="74">
        <v>26982.75</v>
      </c>
      <c r="D15" s="14" t="s">
        <v>3</v>
      </c>
      <c r="E15" s="1"/>
    </row>
    <row r="16" spans="1:5" x14ac:dyDescent="0.25">
      <c r="A16" s="1"/>
      <c r="B16" s="73" t="s">
        <v>248</v>
      </c>
      <c r="C16" s="74">
        <v>2250</v>
      </c>
      <c r="D16" s="14" t="s">
        <v>3</v>
      </c>
      <c r="E16" s="1"/>
    </row>
    <row r="17" spans="1:5" x14ac:dyDescent="0.25">
      <c r="A17" s="1"/>
      <c r="B17" s="73"/>
      <c r="C17" s="74"/>
      <c r="D17" s="14" t="s">
        <v>3</v>
      </c>
      <c r="E17" s="1"/>
    </row>
    <row r="18" spans="1:5" x14ac:dyDescent="0.25">
      <c r="A18" s="1"/>
      <c r="B18" s="73"/>
      <c r="C18" s="74"/>
      <c r="D18" s="14" t="s">
        <v>3</v>
      </c>
      <c r="E18" s="1"/>
    </row>
    <row r="19" spans="1:5" x14ac:dyDescent="0.25">
      <c r="A19" s="1"/>
      <c r="B19" s="73"/>
      <c r="C19" s="74"/>
      <c r="D19" s="14" t="s">
        <v>3</v>
      </c>
      <c r="E19" s="1"/>
    </row>
    <row r="20" spans="1:5" x14ac:dyDescent="0.25">
      <c r="A20" s="1"/>
      <c r="B20" s="33" t="s">
        <v>168</v>
      </c>
      <c r="C20" s="12">
        <f>SUM(C10:C19)</f>
        <v>3275052.92</v>
      </c>
      <c r="D20" s="13" t="s">
        <v>3</v>
      </c>
      <c r="E20" s="1"/>
    </row>
    <row r="21" spans="1:5" x14ac:dyDescent="0.25">
      <c r="A21" s="1"/>
      <c r="B21" s="33" t="s">
        <v>169</v>
      </c>
      <c r="C21" s="12">
        <f>C20*(1+'Fane 15. Nøgletal'!C10)^2</f>
        <v>3723721.0545619149</v>
      </c>
      <c r="D21" s="13" t="s">
        <v>3</v>
      </c>
      <c r="E21" s="1"/>
    </row>
    <row r="22" spans="1:5" x14ac:dyDescent="0.25">
      <c r="A22" s="1"/>
      <c r="B22" s="16"/>
      <c r="C22" s="15"/>
      <c r="D22" s="15"/>
      <c r="E22" s="1"/>
    </row>
    <row r="23" spans="1:5" x14ac:dyDescent="0.25">
      <c r="A23" s="1"/>
      <c r="B23" s="16"/>
      <c r="C23" s="15"/>
      <c r="D23" s="15"/>
      <c r="E23" s="1"/>
    </row>
    <row r="24" spans="1:5" x14ac:dyDescent="0.25">
      <c r="A24" s="1"/>
      <c r="B24" s="113" t="s">
        <v>61</v>
      </c>
      <c r="C24" s="114"/>
      <c r="D24" s="115"/>
      <c r="E24" s="1"/>
    </row>
    <row r="25" spans="1:5" x14ac:dyDescent="0.25">
      <c r="A25" s="1"/>
      <c r="B25" s="37" t="s">
        <v>73</v>
      </c>
      <c r="C25" s="9"/>
      <c r="D25" s="14" t="s">
        <v>3</v>
      </c>
      <c r="E25" s="1"/>
    </row>
    <row r="26" spans="1:5" x14ac:dyDescent="0.25">
      <c r="A26" s="1"/>
      <c r="B26" s="37" t="s">
        <v>84</v>
      </c>
      <c r="C26" s="9"/>
      <c r="D26" s="14" t="s">
        <v>3</v>
      </c>
      <c r="E26" s="1"/>
    </row>
    <row r="27" spans="1:5" x14ac:dyDescent="0.25">
      <c r="A27" s="1"/>
      <c r="B27" s="37" t="s">
        <v>149</v>
      </c>
      <c r="C27" s="9"/>
      <c r="D27" s="14" t="s">
        <v>3</v>
      </c>
      <c r="E27" s="1"/>
    </row>
    <row r="28" spans="1:5" x14ac:dyDescent="0.25">
      <c r="A28" s="1"/>
      <c r="B28" s="34" t="s">
        <v>170</v>
      </c>
      <c r="C28" s="9"/>
      <c r="D28" s="36" t="s">
        <v>3</v>
      </c>
      <c r="E28" s="1"/>
    </row>
    <row r="29" spans="1:5" x14ac:dyDescent="0.25">
      <c r="A29" s="1"/>
      <c r="B29" s="113"/>
      <c r="C29" s="114"/>
      <c r="D29" s="115"/>
      <c r="E29" s="1"/>
    </row>
    <row r="30" spans="1:5" x14ac:dyDescent="0.25">
      <c r="A30" s="1"/>
      <c r="B30" s="1"/>
      <c r="C30" s="1"/>
      <c r="D30" s="1"/>
      <c r="E30" s="1"/>
    </row>
    <row r="31" spans="1:5" x14ac:dyDescent="0.25">
      <c r="A31" s="1"/>
      <c r="B31" s="1"/>
      <c r="C31" s="1"/>
      <c r="D31" s="1"/>
      <c r="E31" s="1"/>
    </row>
    <row r="32" spans="1:5" x14ac:dyDescent="0.25">
      <c r="A32" s="1"/>
      <c r="B32" s="113" t="s">
        <v>48</v>
      </c>
      <c r="C32" s="114"/>
      <c r="D32" s="115"/>
      <c r="E32" s="1"/>
    </row>
    <row r="33" spans="1:5" x14ac:dyDescent="0.25">
      <c r="A33" s="1"/>
      <c r="B33" s="37" t="s">
        <v>73</v>
      </c>
      <c r="C33" s="9"/>
      <c r="D33" s="14" t="s">
        <v>3</v>
      </c>
      <c r="E33" s="1"/>
    </row>
    <row r="34" spans="1:5" x14ac:dyDescent="0.25">
      <c r="A34" s="1"/>
      <c r="B34" s="37" t="s">
        <v>84</v>
      </c>
      <c r="C34" s="9"/>
      <c r="D34" s="14" t="s">
        <v>3</v>
      </c>
      <c r="E34" s="1"/>
    </row>
    <row r="35" spans="1:5" x14ac:dyDescent="0.25">
      <c r="A35" s="1"/>
      <c r="B35" s="37" t="s">
        <v>149</v>
      </c>
      <c r="C35" s="9"/>
      <c r="D35" s="14" t="s">
        <v>3</v>
      </c>
      <c r="E35" s="1"/>
    </row>
    <row r="36" spans="1:5" x14ac:dyDescent="0.25">
      <c r="A36" s="1"/>
      <c r="B36" s="34" t="s">
        <v>170</v>
      </c>
      <c r="C36" s="9"/>
      <c r="D36" s="36" t="s">
        <v>3</v>
      </c>
      <c r="E36" s="1"/>
    </row>
    <row r="37" spans="1:5" x14ac:dyDescent="0.25">
      <c r="A37" s="1"/>
      <c r="B37" s="113"/>
      <c r="C37" s="114"/>
      <c r="D37" s="115"/>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kujT9I1+0FIVaN/GOPSyWu7AdVQDsoDDvcZvdqRi7dKfqXg/wDcltSjS5LH3B0g1imIg7dbun48JVa1bSnPIuw==" saltValue="B25dztfISExKeBnfaTYa7g=="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2" t="s">
        <v>202</v>
      </c>
      <c r="C3" s="112"/>
      <c r="D3" s="112"/>
      <c r="E3" s="1"/>
    </row>
    <row r="4" spans="1:5" ht="15" customHeight="1" x14ac:dyDescent="0.25">
      <c r="A4" s="1"/>
      <c r="B4" s="112"/>
      <c r="C4" s="112"/>
      <c r="D4" s="112"/>
      <c r="E4" s="1"/>
    </row>
    <row r="5" spans="1:5" ht="15" customHeight="1" x14ac:dyDescent="0.25">
      <c r="A5" s="1"/>
      <c r="B5" s="112"/>
      <c r="C5" s="112"/>
      <c r="D5" s="112"/>
      <c r="E5" s="1"/>
    </row>
    <row r="6" spans="1:5" ht="15" customHeight="1" x14ac:dyDescent="0.25">
      <c r="A6" s="1"/>
      <c r="B6" s="76"/>
      <c r="C6" s="76"/>
      <c r="D6" s="76"/>
      <c r="E6" s="1"/>
    </row>
    <row r="7" spans="1:5" x14ac:dyDescent="0.25">
      <c r="A7" s="1"/>
      <c r="B7" s="1"/>
      <c r="C7" s="1"/>
      <c r="D7" s="1"/>
      <c r="E7" s="1"/>
    </row>
    <row r="8" spans="1:5" x14ac:dyDescent="0.25">
      <c r="A8" s="1"/>
      <c r="B8" s="113" t="s">
        <v>78</v>
      </c>
      <c r="C8" s="114"/>
      <c r="D8" s="115"/>
      <c r="E8" s="1"/>
    </row>
    <row r="9" spans="1:5" x14ac:dyDescent="0.25">
      <c r="A9" s="1"/>
      <c r="B9" s="66" t="s">
        <v>205</v>
      </c>
      <c r="C9" s="9">
        <v>-13893713.861720726</v>
      </c>
      <c r="D9" s="14" t="s">
        <v>3</v>
      </c>
      <c r="E9" s="1"/>
    </row>
    <row r="10" spans="1:5" x14ac:dyDescent="0.25">
      <c r="A10" s="1"/>
      <c r="B10" s="33"/>
      <c r="C10" s="28"/>
      <c r="D10" s="19"/>
      <c r="E10" s="1"/>
    </row>
    <row r="11" spans="1:5" ht="53.25" customHeight="1" x14ac:dyDescent="0.25">
      <c r="A11" s="1"/>
      <c r="B11" s="124" t="s">
        <v>213</v>
      </c>
      <c r="C11" s="125"/>
      <c r="D11" s="126"/>
      <c r="E11" s="1"/>
    </row>
    <row r="12" spans="1:5" x14ac:dyDescent="0.25">
      <c r="A12" s="1"/>
      <c r="B12" s="1"/>
      <c r="C12" s="1"/>
      <c r="D12" s="1"/>
      <c r="E12" s="1"/>
    </row>
    <row r="13" spans="1:5" x14ac:dyDescent="0.25">
      <c r="A13" s="1"/>
      <c r="B13" s="113" t="s">
        <v>79</v>
      </c>
      <c r="C13" s="114"/>
      <c r="D13" s="115"/>
      <c r="E13" s="1"/>
    </row>
    <row r="14" spans="1:5" x14ac:dyDescent="0.25">
      <c r="A14" s="1"/>
      <c r="B14" s="66" t="s">
        <v>203</v>
      </c>
      <c r="C14" s="9">
        <v>-6946856.9308603629</v>
      </c>
      <c r="D14" s="14" t="s">
        <v>3</v>
      </c>
      <c r="E14" s="1"/>
    </row>
    <row r="15" spans="1:5" x14ac:dyDescent="0.25">
      <c r="A15" s="1"/>
      <c r="B15" s="66" t="s">
        <v>204</v>
      </c>
      <c r="C15" s="9">
        <v>-6946856.9308603629</v>
      </c>
      <c r="D15" s="14" t="s">
        <v>3</v>
      </c>
      <c r="E15" s="1"/>
    </row>
    <row r="16" spans="1:5" x14ac:dyDescent="0.25">
      <c r="A16" s="1"/>
      <c r="B16" s="33"/>
      <c r="C16" s="28"/>
      <c r="D16" s="19"/>
      <c r="E16" s="1"/>
    </row>
    <row r="17" spans="1:5" ht="29.25" customHeight="1" x14ac:dyDescent="0.25">
      <c r="A17" s="1"/>
      <c r="B17" s="124" t="s">
        <v>122</v>
      </c>
      <c r="C17" s="125"/>
      <c r="D17" s="126"/>
      <c r="E17" s="1"/>
    </row>
    <row r="18" spans="1:5" x14ac:dyDescent="0.25">
      <c r="A18" s="1"/>
      <c r="B18" s="1"/>
      <c r="C18" s="1"/>
      <c r="D18" s="1"/>
      <c r="E18" s="1"/>
    </row>
    <row r="19" spans="1:5" x14ac:dyDescent="0.25">
      <c r="A19" s="1"/>
      <c r="B19" s="77" t="s">
        <v>206</v>
      </c>
      <c r="C19" s="78"/>
      <c r="D19" s="79"/>
      <c r="E19" s="1"/>
    </row>
    <row r="20" spans="1:5" x14ac:dyDescent="0.25">
      <c r="A20" s="1"/>
      <c r="B20" s="66" t="s">
        <v>207</v>
      </c>
      <c r="C20" s="9">
        <v>125533136.05310172</v>
      </c>
      <c r="D20" s="14" t="s">
        <v>3</v>
      </c>
      <c r="E20" s="1"/>
    </row>
    <row r="21" spans="1:5" x14ac:dyDescent="0.25">
      <c r="A21" s="1"/>
      <c r="B21" s="66" t="s">
        <v>208</v>
      </c>
      <c r="C21" s="9">
        <v>111213988.61</v>
      </c>
      <c r="D21" s="14" t="s">
        <v>3</v>
      </c>
      <c r="E21" s="1"/>
    </row>
    <row r="22" spans="1:5" x14ac:dyDescent="0.25">
      <c r="A22" s="1"/>
      <c r="B22" s="66" t="s">
        <v>29</v>
      </c>
      <c r="C22" s="9">
        <v>0</v>
      </c>
      <c r="D22" s="14" t="s">
        <v>3</v>
      </c>
      <c r="E22" s="1"/>
    </row>
    <row r="23" spans="1:5" x14ac:dyDescent="0.25">
      <c r="A23" s="1"/>
      <c r="B23" s="83" t="s">
        <v>209</v>
      </c>
      <c r="C23" s="57">
        <f>C20-C21-C22</f>
        <v>14319147.443101719</v>
      </c>
      <c r="D23" s="17" t="s">
        <v>3</v>
      </c>
      <c r="E23" s="1"/>
    </row>
    <row r="24" spans="1:5" x14ac:dyDescent="0.25">
      <c r="A24" s="1"/>
      <c r="B24" s="33"/>
      <c r="C24" s="28"/>
      <c r="D24" s="19"/>
      <c r="E24" s="1"/>
    </row>
    <row r="25" spans="1:5" x14ac:dyDescent="0.25">
      <c r="A25" s="1"/>
      <c r="B25" s="1"/>
      <c r="C25" s="1"/>
      <c r="D25" s="1"/>
      <c r="E25" s="1"/>
    </row>
    <row r="26" spans="1:5" x14ac:dyDescent="0.25">
      <c r="A26" s="1"/>
      <c r="B26" s="113" t="s">
        <v>210</v>
      </c>
      <c r="C26" s="114"/>
      <c r="D26" s="115"/>
      <c r="E26" s="1"/>
    </row>
    <row r="27" spans="1:5" x14ac:dyDescent="0.25">
      <c r="A27" s="1"/>
      <c r="B27" s="83" t="s">
        <v>211</v>
      </c>
      <c r="C27" s="57">
        <f>IF(AND(C15&lt;0,C23&gt;0,ABS(SUM(C14:C15))&lt;C23),ABS(C14),IF(AND(C15&lt;0,C23&gt;0,ABS(SUM(C14:C15))&gt;C23),SUM(C14,C23),C15))</f>
        <v>6946856.9308603629</v>
      </c>
      <c r="D27" s="17" t="s">
        <v>3</v>
      </c>
      <c r="E27" s="1"/>
    </row>
    <row r="28" spans="1:5" x14ac:dyDescent="0.25">
      <c r="A28" s="1"/>
      <c r="B28" s="113"/>
      <c r="C28" s="114"/>
      <c r="D28" s="115"/>
      <c r="E28" s="1"/>
    </row>
    <row r="29" spans="1:5" x14ac:dyDescent="0.25">
      <c r="A29" s="1"/>
      <c r="B29" s="1"/>
      <c r="C29" s="1"/>
      <c r="D29" s="1"/>
      <c r="E29" s="1"/>
    </row>
    <row r="30" spans="1:5" x14ac:dyDescent="0.25">
      <c r="A30" s="1"/>
      <c r="B30" s="113" t="s">
        <v>212</v>
      </c>
      <c r="C30" s="114"/>
      <c r="D30" s="115"/>
      <c r="E30" s="1"/>
    </row>
    <row r="31" spans="1:5" x14ac:dyDescent="0.25">
      <c r="A31" s="1"/>
      <c r="B31" s="67" t="s">
        <v>70</v>
      </c>
      <c r="C31" s="58">
        <f>IF(AND(C9&gt;0,(C9+C23)&gt;0),0,IF(AND(C9&gt;0,(C9+C23)&lt;0),(C9+C23),IF(AND(C9&lt;0,C23&lt;0),C23,0)))</f>
        <v>0</v>
      </c>
      <c r="D31" s="14" t="s">
        <v>3</v>
      </c>
      <c r="E31" s="1"/>
    </row>
    <row r="32" spans="1:5" x14ac:dyDescent="0.25">
      <c r="A32" s="1"/>
      <c r="B32" s="67" t="s">
        <v>50</v>
      </c>
      <c r="C32" s="9">
        <v>2</v>
      </c>
      <c r="D32" s="14" t="s">
        <v>20</v>
      </c>
      <c r="E32" s="1"/>
    </row>
    <row r="33" spans="1:5" x14ac:dyDescent="0.25">
      <c r="A33" s="1"/>
      <c r="B33" s="68" t="s">
        <v>71</v>
      </c>
      <c r="C33" s="57">
        <f>C31/C32</f>
        <v>0</v>
      </c>
      <c r="D33" s="17" t="s">
        <v>3</v>
      </c>
      <c r="E33" s="1"/>
    </row>
    <row r="34" spans="1:5" x14ac:dyDescent="0.25">
      <c r="A34" s="1"/>
      <c r="B34" s="121"/>
      <c r="C34" s="122"/>
      <c r="D34" s="123"/>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7WL/GBk/QwGI9VOchRMGXmnMMcl0wL9KqC3rAdEH5EMUntIJMp6cDfvD4gX2yoqK4LIL95bxnKypE+rbMwHKuw==" saltValue="livLHx6tPlObmOLuJ/8la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12" t="s">
        <v>102</v>
      </c>
      <c r="C3" s="112"/>
      <c r="D3" s="112"/>
      <c r="E3" s="1"/>
    </row>
    <row r="4" spans="1:5" ht="15" customHeight="1" x14ac:dyDescent="0.25">
      <c r="A4" s="1"/>
      <c r="B4" s="112"/>
      <c r="C4" s="112"/>
      <c r="D4" s="112"/>
      <c r="E4" s="1"/>
    </row>
    <row r="5" spans="1:5" x14ac:dyDescent="0.25">
      <c r="A5" s="1"/>
      <c r="B5" s="112"/>
      <c r="C5" s="112"/>
      <c r="D5" s="112"/>
      <c r="E5" s="1"/>
    </row>
    <row r="6" spans="1:5" x14ac:dyDescent="0.25">
      <c r="A6" s="1"/>
      <c r="B6" s="1"/>
      <c r="C6" s="1"/>
      <c r="D6" s="1"/>
      <c r="E6" s="1"/>
    </row>
    <row r="7" spans="1:5" x14ac:dyDescent="0.25">
      <c r="A7" s="1"/>
      <c r="B7" s="1"/>
      <c r="C7" s="1"/>
      <c r="D7" s="1"/>
      <c r="E7" s="1"/>
    </row>
    <row r="8" spans="1:5" x14ac:dyDescent="0.25">
      <c r="A8" s="1"/>
      <c r="B8" s="113" t="s">
        <v>121</v>
      </c>
      <c r="C8" s="114"/>
      <c r="D8" s="115"/>
      <c r="E8" s="1"/>
    </row>
    <row r="9" spans="1:5" ht="15" customHeight="1" x14ac:dyDescent="0.25">
      <c r="A9" s="1"/>
      <c r="B9" s="127" t="s">
        <v>103</v>
      </c>
      <c r="C9" s="128"/>
      <c r="D9" s="129"/>
      <c r="E9" s="1"/>
    </row>
    <row r="10" spans="1:5" x14ac:dyDescent="0.25">
      <c r="A10" s="1"/>
      <c r="B10" s="69" t="s">
        <v>104</v>
      </c>
      <c r="C10" s="9"/>
      <c r="D10" s="9" t="s">
        <v>3</v>
      </c>
      <c r="E10" s="1"/>
    </row>
    <row r="11" spans="1:5" x14ac:dyDescent="0.25">
      <c r="A11" s="1"/>
      <c r="B11" s="69" t="s">
        <v>105</v>
      </c>
      <c r="C11" s="9"/>
      <c r="D11" s="9" t="s">
        <v>3</v>
      </c>
      <c r="E11" s="1"/>
    </row>
    <row r="12" spans="1:5" x14ac:dyDescent="0.25">
      <c r="A12" s="1"/>
      <c r="B12" s="69" t="s">
        <v>106</v>
      </c>
      <c r="C12" s="9"/>
      <c r="D12" s="9" t="s">
        <v>3</v>
      </c>
      <c r="E12" s="1"/>
    </row>
    <row r="13" spans="1:5" x14ac:dyDescent="0.25">
      <c r="A13" s="1"/>
      <c r="B13" s="69" t="s">
        <v>107</v>
      </c>
      <c r="C13" s="9"/>
      <c r="D13" s="9" t="s">
        <v>3</v>
      </c>
      <c r="E13" s="1"/>
    </row>
    <row r="14" spans="1:5" x14ac:dyDescent="0.25">
      <c r="A14" s="1"/>
      <c r="B14" s="69" t="s">
        <v>108</v>
      </c>
      <c r="C14" s="9"/>
      <c r="D14" s="9" t="s">
        <v>3</v>
      </c>
      <c r="E14" s="1"/>
    </row>
    <row r="15" spans="1:5" x14ac:dyDescent="0.25">
      <c r="A15" s="1"/>
      <c r="B15" s="69" t="s">
        <v>109</v>
      </c>
      <c r="C15" s="9"/>
      <c r="D15" s="9" t="s">
        <v>3</v>
      </c>
      <c r="E15" s="1"/>
    </row>
    <row r="16" spans="1:5" x14ac:dyDescent="0.25">
      <c r="A16" s="1"/>
      <c r="B16" s="69" t="s">
        <v>110</v>
      </c>
      <c r="C16" s="9"/>
      <c r="D16" s="9" t="s">
        <v>3</v>
      </c>
      <c r="E16" s="1"/>
    </row>
    <row r="17" spans="1:5" x14ac:dyDescent="0.25">
      <c r="A17" s="1"/>
      <c r="B17" s="69" t="s">
        <v>111</v>
      </c>
      <c r="C17" s="9"/>
      <c r="D17" s="9" t="s">
        <v>3</v>
      </c>
      <c r="E17" s="1"/>
    </row>
    <row r="18" spans="1:5" x14ac:dyDescent="0.25">
      <c r="A18" s="1"/>
      <c r="B18" s="77" t="s">
        <v>112</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Z4KDUDCOUE6r4PrxNymopJjEOTrFUbyQMbFRx/VwRe+m94NgeQOYL2v0P0LHXWRq11EXag/qT7XRiPjnEw7Sw==" saltValue="YMZ857ne7IB+j5TRlVt6P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118</v>
      </c>
      <c r="C3" s="112"/>
      <c r="D3" s="112"/>
      <c r="E3" s="112"/>
      <c r="F3" s="112"/>
      <c r="G3" s="1"/>
    </row>
    <row r="4" spans="1:7" ht="15" customHeight="1" x14ac:dyDescent="0.25">
      <c r="A4" s="1"/>
      <c r="B4" s="112"/>
      <c r="C4" s="112"/>
      <c r="D4" s="112"/>
      <c r="E4" s="112"/>
      <c r="F4" s="112"/>
      <c r="G4" s="1"/>
    </row>
    <row r="5" spans="1:7" x14ac:dyDescent="0.25">
      <c r="A5" s="1"/>
      <c r="B5" s="112"/>
      <c r="C5" s="112"/>
      <c r="D5" s="112"/>
      <c r="E5" s="112"/>
      <c r="F5" s="112"/>
      <c r="G5" s="1"/>
    </row>
    <row r="6" spans="1:7" x14ac:dyDescent="0.25">
      <c r="A6" s="1"/>
      <c r="B6" s="1"/>
      <c r="C6" s="1"/>
      <c r="D6" s="1"/>
      <c r="E6" s="1"/>
      <c r="F6" s="1"/>
      <c r="G6" s="1"/>
    </row>
    <row r="7" spans="1:7" x14ac:dyDescent="0.25">
      <c r="A7" s="1"/>
      <c r="B7" s="1"/>
      <c r="C7" s="1"/>
      <c r="D7" s="1"/>
      <c r="E7" s="1"/>
      <c r="F7" s="1"/>
      <c r="G7" s="1"/>
    </row>
    <row r="8" spans="1:7" x14ac:dyDescent="0.25">
      <c r="A8" s="1"/>
      <c r="B8" s="113" t="s">
        <v>67</v>
      </c>
      <c r="C8" s="114"/>
      <c r="D8" s="114"/>
      <c r="E8" s="114"/>
      <c r="F8" s="115"/>
      <c r="G8" s="1"/>
    </row>
    <row r="9" spans="1:7" ht="15" customHeight="1" x14ac:dyDescent="0.25">
      <c r="A9" s="1"/>
      <c r="B9" s="31" t="s">
        <v>68</v>
      </c>
      <c r="C9" s="27" t="s">
        <v>11</v>
      </c>
      <c r="D9" s="32"/>
      <c r="E9" s="27" t="s">
        <v>27</v>
      </c>
      <c r="F9" s="32"/>
      <c r="G9" s="1"/>
    </row>
    <row r="10" spans="1:7" ht="26.25" x14ac:dyDescent="0.25">
      <c r="A10" s="1"/>
      <c r="B10" s="71" t="s">
        <v>223</v>
      </c>
      <c r="C10" s="9">
        <v>0</v>
      </c>
      <c r="D10" s="14" t="s">
        <v>3</v>
      </c>
      <c r="E10" s="9">
        <v>0</v>
      </c>
      <c r="F10" s="14" t="s">
        <v>3</v>
      </c>
      <c r="G10" s="1"/>
    </row>
    <row r="11" spans="1:7" ht="28.5" customHeight="1" x14ac:dyDescent="0.25">
      <c r="A11" s="1"/>
      <c r="B11" s="20" t="s">
        <v>143</v>
      </c>
      <c r="C11" s="12">
        <f>SUM(C10:C10)</f>
        <v>0</v>
      </c>
      <c r="D11" s="13" t="s">
        <v>3</v>
      </c>
      <c r="E11" s="12">
        <f>SUM(E10:E10)</f>
        <v>0</v>
      </c>
      <c r="F11" s="13" t="s">
        <v>3</v>
      </c>
      <c r="G11" s="1"/>
    </row>
    <row r="12" spans="1:7" ht="27" customHeight="1" x14ac:dyDescent="0.25">
      <c r="A12" s="1"/>
      <c r="B12" s="20" t="s">
        <v>183</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HyrZXcI8tTqMAItD1jDjiTVjPwcyEyzo+hkfJrBNtr3VeuzGcSBdmxh1iAHWWbGwOm6J9/nRpD8UGrx4OqWF8A==" saltValue="30bSbed6ZSCN0mQfbY6shw==" spinCount="100000" sheet="1" objects="1" scenarios="1"/>
  <mergeCells count="2">
    <mergeCell ref="B8:F8"/>
    <mergeCell ref="B3:F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2" t="s">
        <v>171</v>
      </c>
      <c r="C3" s="112"/>
      <c r="D3" s="112"/>
      <c r="E3" s="1"/>
    </row>
    <row r="4" spans="1:5" ht="15" customHeight="1" x14ac:dyDescent="0.25">
      <c r="A4" s="1"/>
      <c r="B4" s="112"/>
      <c r="C4" s="112"/>
      <c r="D4" s="112"/>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13" t="s">
        <v>172</v>
      </c>
      <c r="C8" s="114"/>
      <c r="D8" s="115"/>
      <c r="E8" s="1"/>
    </row>
    <row r="9" spans="1:5" ht="26.25" x14ac:dyDescent="0.25">
      <c r="A9" s="1"/>
      <c r="B9" s="80" t="s">
        <v>218</v>
      </c>
      <c r="C9" s="7">
        <v>0</v>
      </c>
      <c r="D9" s="8" t="s">
        <v>3</v>
      </c>
      <c r="E9" s="1"/>
    </row>
    <row r="10" spans="1:5" ht="14.25" customHeight="1" x14ac:dyDescent="0.25">
      <c r="A10" s="1"/>
      <c r="B10" s="66" t="s">
        <v>173</v>
      </c>
      <c r="C10" s="7">
        <v>0</v>
      </c>
      <c r="D10" s="8" t="s">
        <v>3</v>
      </c>
      <c r="E10" s="1"/>
    </row>
    <row r="11" spans="1:5" ht="14.25" customHeight="1" x14ac:dyDescent="0.25">
      <c r="A11" s="1"/>
      <c r="B11" s="83" t="s">
        <v>49</v>
      </c>
      <c r="C11" s="10">
        <f>C10-C9</f>
        <v>0</v>
      </c>
      <c r="D11" s="11" t="s">
        <v>3</v>
      </c>
      <c r="E11" s="1"/>
    </row>
    <row r="12" spans="1:5" ht="14.25" customHeight="1" x14ac:dyDescent="0.25">
      <c r="A12" s="1"/>
      <c r="B12" s="113" t="s">
        <v>220</v>
      </c>
      <c r="C12" s="114"/>
      <c r="D12" s="115"/>
      <c r="E12" s="1"/>
    </row>
    <row r="13" spans="1:5" ht="26.25" x14ac:dyDescent="0.25">
      <c r="A13" s="1"/>
      <c r="B13" s="80" t="s">
        <v>219</v>
      </c>
      <c r="C13" s="7">
        <v>0</v>
      </c>
      <c r="D13" s="8" t="s">
        <v>3</v>
      </c>
      <c r="E13" s="1"/>
    </row>
    <row r="14" spans="1:5" ht="14.25" customHeight="1" x14ac:dyDescent="0.25">
      <c r="A14" s="1"/>
      <c r="B14" s="66" t="s">
        <v>174</v>
      </c>
      <c r="C14" s="7">
        <v>0</v>
      </c>
      <c r="D14" s="8" t="s">
        <v>3</v>
      </c>
      <c r="E14" s="1"/>
    </row>
    <row r="15" spans="1:5" ht="14.25" customHeight="1" x14ac:dyDescent="0.25">
      <c r="A15" s="1"/>
      <c r="B15" s="83" t="s">
        <v>49</v>
      </c>
      <c r="C15" s="10">
        <f>C14-C13</f>
        <v>0</v>
      </c>
      <c r="D15" s="11" t="s">
        <v>3</v>
      </c>
      <c r="E15" s="1"/>
    </row>
    <row r="16" spans="1:5" ht="14.25" customHeight="1" x14ac:dyDescent="0.25">
      <c r="A16" s="1"/>
      <c r="B16" s="33" t="s">
        <v>175</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e/CcnM50ISXvU5AlD2rMU8EPGFYEqWLsyF49ZxdoWcgJYKr7jUO2YE1LSUn53zblAKUkc4vc01eC6Kaa4+jkRA==" saltValue="d2k/bDNiSsHqqpDq6K1nfw=="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6" t="s">
        <v>114</v>
      </c>
      <c r="C3" s="106"/>
      <c r="D3" s="106"/>
      <c r="E3" s="106"/>
      <c r="F3" s="106"/>
      <c r="G3" s="106"/>
      <c r="H3" s="106"/>
      <c r="I3" s="106"/>
      <c r="J3" s="106"/>
      <c r="K3" s="106"/>
      <c r="L3" s="1"/>
    </row>
    <row r="4" spans="1:12" ht="15" customHeight="1" x14ac:dyDescent="0.25">
      <c r="A4" s="1"/>
      <c r="B4" s="106"/>
      <c r="C4" s="106"/>
      <c r="D4" s="106"/>
      <c r="E4" s="106"/>
      <c r="F4" s="106"/>
      <c r="G4" s="106"/>
      <c r="H4" s="106"/>
      <c r="I4" s="106"/>
      <c r="J4" s="106"/>
      <c r="K4" s="106"/>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3" t="s">
        <v>87</v>
      </c>
      <c r="C8" s="114"/>
      <c r="D8" s="114"/>
      <c r="E8" s="114"/>
      <c r="F8" s="114"/>
      <c r="G8" s="114"/>
      <c r="H8" s="114"/>
      <c r="I8" s="114"/>
      <c r="J8" s="114"/>
      <c r="K8" s="115"/>
      <c r="L8" s="1"/>
    </row>
    <row r="9" spans="1:12" ht="39.75" customHeight="1" x14ac:dyDescent="0.25">
      <c r="A9" s="1"/>
      <c r="B9" s="18" t="s">
        <v>0</v>
      </c>
      <c r="C9" s="18" t="s">
        <v>1</v>
      </c>
      <c r="D9" s="130" t="s">
        <v>97</v>
      </c>
      <c r="E9" s="131"/>
      <c r="F9" s="130" t="s">
        <v>2</v>
      </c>
      <c r="G9" s="131"/>
      <c r="H9" s="130" t="s">
        <v>96</v>
      </c>
      <c r="I9" s="131"/>
      <c r="J9" s="130" t="s">
        <v>26</v>
      </c>
      <c r="K9" s="131"/>
      <c r="L9" s="1"/>
    </row>
    <row r="10" spans="1:12" x14ac:dyDescent="0.25">
      <c r="A10" s="1"/>
      <c r="B10" s="69" t="s">
        <v>225</v>
      </c>
      <c r="C10" s="42">
        <v>0</v>
      </c>
      <c r="D10" s="9">
        <v>0</v>
      </c>
      <c r="E10" s="14" t="s">
        <v>3</v>
      </c>
      <c r="F10" s="9">
        <f>IFERROR(D10/C10,0)</f>
        <v>0</v>
      </c>
      <c r="G10" s="14" t="s">
        <v>3</v>
      </c>
      <c r="H10" s="38">
        <v>0</v>
      </c>
      <c r="I10" s="14" t="s">
        <v>3</v>
      </c>
      <c r="J10" s="38">
        <v>0</v>
      </c>
      <c r="K10" s="14" t="s">
        <v>3</v>
      </c>
      <c r="L10" s="1"/>
    </row>
    <row r="11" spans="1:12" x14ac:dyDescent="0.25">
      <c r="A11" s="1"/>
      <c r="B11" s="77" t="s">
        <v>222</v>
      </c>
      <c r="C11" s="78"/>
      <c r="D11" s="79"/>
      <c r="E11" s="79"/>
      <c r="F11" s="12">
        <f>SUM(F10:F10)</f>
        <v>0</v>
      </c>
      <c r="G11" s="12" t="s">
        <v>95</v>
      </c>
      <c r="H11" s="12">
        <f>SUM(H10:H10)</f>
        <v>0</v>
      </c>
      <c r="I11" s="12" t="s">
        <v>95</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vDzubVB3CaHXNFgOK5cv4cxUFOI+2YIr7mhcEVpMgYwPSj4cKEdwE+E/IzhomGApfgAbWb2MMIgli/cpogLIbQ==" saltValue="qqtFL9Y2wNRWI6JXjcLZBg=="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1"/>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115</v>
      </c>
      <c r="C3" s="106"/>
      <c r="D3" s="106"/>
      <c r="E3" s="106"/>
      <c r="F3" s="106"/>
      <c r="G3" s="1"/>
    </row>
    <row r="4" spans="1:7" ht="15" customHeight="1" x14ac:dyDescent="0.25">
      <c r="A4" s="1"/>
      <c r="B4" s="106"/>
      <c r="C4" s="106"/>
      <c r="D4" s="106"/>
      <c r="E4" s="106"/>
      <c r="F4" s="10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1" t="s">
        <v>17</v>
      </c>
      <c r="C9" s="83" t="s">
        <v>11</v>
      </c>
      <c r="D9" s="82"/>
      <c r="E9" s="83" t="s">
        <v>27</v>
      </c>
      <c r="F9" s="32"/>
      <c r="G9" s="1"/>
    </row>
    <row r="10" spans="1:7" x14ac:dyDescent="0.25">
      <c r="A10" s="1"/>
      <c r="B10" s="24" t="s">
        <v>88</v>
      </c>
      <c r="C10" s="21">
        <f>'Fane 10. Anlægsprojekter (§ 19)'!H11</f>
        <v>0</v>
      </c>
      <c r="D10" s="14" t="s">
        <v>3</v>
      </c>
      <c r="E10" s="9">
        <f>'Fane 10. Anlægsprojekter (§ 19)'!F11+'Fane 10. Anlægsprojekter (§ 19)'!J11</f>
        <v>0</v>
      </c>
      <c r="F10" s="14" t="s">
        <v>3</v>
      </c>
      <c r="G10" s="1"/>
    </row>
    <row r="11" spans="1:7" x14ac:dyDescent="0.25">
      <c r="A11" s="1"/>
      <c r="B11" s="24" t="s">
        <v>232</v>
      </c>
      <c r="C11" s="21">
        <v>0</v>
      </c>
      <c r="D11" s="14" t="s">
        <v>3</v>
      </c>
      <c r="E11" s="9">
        <v>27122</v>
      </c>
      <c r="F11" s="14" t="s">
        <v>3</v>
      </c>
      <c r="G11" s="1"/>
    </row>
    <row r="12" spans="1:7" x14ac:dyDescent="0.25">
      <c r="A12" s="1"/>
      <c r="B12" s="24" t="s">
        <v>233</v>
      </c>
      <c r="C12" s="21">
        <v>0</v>
      </c>
      <c r="D12" s="14" t="s">
        <v>3</v>
      </c>
      <c r="E12" s="9">
        <v>64635</v>
      </c>
      <c r="F12" s="14" t="s">
        <v>3</v>
      </c>
      <c r="G12" s="1"/>
    </row>
    <row r="13" spans="1:7" x14ac:dyDescent="0.25">
      <c r="A13" s="1"/>
      <c r="B13" s="24" t="s">
        <v>234</v>
      </c>
      <c r="C13" s="21">
        <v>0</v>
      </c>
      <c r="D13" s="14" t="s">
        <v>3</v>
      </c>
      <c r="E13" s="9">
        <v>128123</v>
      </c>
      <c r="F13" s="14" t="s">
        <v>3</v>
      </c>
      <c r="G13" s="1"/>
    </row>
    <row r="14" spans="1:7" x14ac:dyDescent="0.25">
      <c r="A14" s="1"/>
      <c r="B14" s="24" t="s">
        <v>235</v>
      </c>
      <c r="C14" s="21">
        <v>860722</v>
      </c>
      <c r="D14" s="14" t="s">
        <v>3</v>
      </c>
      <c r="E14" s="9">
        <v>34557</v>
      </c>
      <c r="F14" s="14" t="s">
        <v>3</v>
      </c>
      <c r="G14" s="1"/>
    </row>
    <row r="15" spans="1:7" x14ac:dyDescent="0.25">
      <c r="A15" s="1"/>
      <c r="B15" s="24" t="s">
        <v>236</v>
      </c>
      <c r="C15" s="21">
        <v>22895</v>
      </c>
      <c r="D15" s="14" t="s">
        <v>3</v>
      </c>
      <c r="E15" s="9">
        <v>112257</v>
      </c>
      <c r="F15" s="14" t="s">
        <v>3</v>
      </c>
      <c r="G15" s="1"/>
    </row>
    <row r="16" spans="1:7" x14ac:dyDescent="0.25">
      <c r="A16" s="1"/>
      <c r="B16" s="24" t="s">
        <v>237</v>
      </c>
      <c r="C16" s="21">
        <v>1756347</v>
      </c>
      <c r="D16" s="14" t="s">
        <v>3</v>
      </c>
      <c r="E16" s="9">
        <v>35487</v>
      </c>
      <c r="F16" s="14" t="s">
        <v>3</v>
      </c>
      <c r="G16" s="1"/>
    </row>
    <row r="17" spans="1:7" x14ac:dyDescent="0.25">
      <c r="A17" s="1"/>
      <c r="B17" s="24" t="s">
        <v>238</v>
      </c>
      <c r="C17" s="21">
        <v>0</v>
      </c>
      <c r="D17" s="14" t="s">
        <v>3</v>
      </c>
      <c r="E17" s="9">
        <v>6788</v>
      </c>
      <c r="F17" s="14" t="s">
        <v>3</v>
      </c>
      <c r="G17" s="1"/>
    </row>
    <row r="18" spans="1:7" x14ac:dyDescent="0.25">
      <c r="A18" s="1"/>
      <c r="B18" s="24" t="s">
        <v>239</v>
      </c>
      <c r="C18" s="21">
        <v>5849918</v>
      </c>
      <c r="D18" s="14" t="s">
        <v>3</v>
      </c>
      <c r="E18" s="9">
        <v>678950</v>
      </c>
      <c r="F18" s="14" t="s">
        <v>3</v>
      </c>
      <c r="G18" s="1"/>
    </row>
    <row r="19" spans="1:7" x14ac:dyDescent="0.25">
      <c r="A19" s="1"/>
      <c r="B19" s="24" t="s">
        <v>240</v>
      </c>
      <c r="C19" s="21">
        <v>0</v>
      </c>
      <c r="D19" s="14" t="s">
        <v>3</v>
      </c>
      <c r="E19" s="9">
        <v>32184</v>
      </c>
      <c r="F19" s="14" t="s">
        <v>3</v>
      </c>
      <c r="G19" s="1"/>
    </row>
    <row r="20" spans="1:7" x14ac:dyDescent="0.25">
      <c r="A20" s="1"/>
      <c r="B20" s="24"/>
      <c r="C20" s="21"/>
      <c r="D20" s="14" t="s">
        <v>3</v>
      </c>
      <c r="E20" s="9"/>
      <c r="F20" s="14" t="s">
        <v>3</v>
      </c>
      <c r="G20" s="1"/>
    </row>
    <row r="21" spans="1:7" x14ac:dyDescent="0.25">
      <c r="A21" s="1"/>
      <c r="B21" s="33" t="s">
        <v>140</v>
      </c>
      <c r="C21" s="12">
        <f>SUM(C10:C20)</f>
        <v>8489882</v>
      </c>
      <c r="D21" s="13" t="s">
        <v>3</v>
      </c>
      <c r="E21" s="12">
        <f>SUM(E10:E20)</f>
        <v>1120103</v>
      </c>
      <c r="F21" s="13" t="s">
        <v>3</v>
      </c>
      <c r="G21" s="1"/>
    </row>
    <row r="22" spans="1:7" x14ac:dyDescent="0.25">
      <c r="A22" s="1"/>
      <c r="B22" s="33" t="s">
        <v>176</v>
      </c>
      <c r="C22" s="12">
        <f>C21*(1+'Fane 15. Nøgletal'!C10)</f>
        <v>9052761.1765999999</v>
      </c>
      <c r="D22" s="13" t="s">
        <v>3</v>
      </c>
      <c r="E22" s="12">
        <f>E21*(1+'Fane 15. Nøgletal'!C10)</f>
        <v>1194365.8289000001</v>
      </c>
      <c r="F22" s="13" t="s">
        <v>3</v>
      </c>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sheetProtection algorithmName="SHA-512" hashValue="6qiMo1AjJ1p5lo8KEgzkhlnSFjw3GV0i6CR/mK00cDQ2pcPbPCm8NJzGGJx2qlPB6vBp6Jv0M4US21qU0A1iEQ==" saltValue="AwwkfmOZCvbC/0KK+HL0pg==" spinCount="100000" sheet="1" objects="1" scenarios="1"/>
  <mergeCells count="1">
    <mergeCell ref="B3:F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116</v>
      </c>
      <c r="C3" s="106"/>
      <c r="D3" s="106"/>
      <c r="E3" s="106"/>
      <c r="F3" s="106"/>
      <c r="G3" s="1"/>
    </row>
    <row r="4" spans="1:7" ht="15" customHeight="1" x14ac:dyDescent="0.25">
      <c r="A4" s="1"/>
      <c r="B4" s="106"/>
      <c r="C4" s="106"/>
      <c r="D4" s="106"/>
      <c r="E4" s="106"/>
      <c r="F4" s="10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3" t="s">
        <v>177</v>
      </c>
      <c r="C8" s="114"/>
      <c r="D8" s="114"/>
      <c r="E8" s="114"/>
      <c r="F8" s="115"/>
      <c r="G8" s="1"/>
    </row>
    <row r="9" spans="1:7" x14ac:dyDescent="0.25">
      <c r="A9" s="1"/>
      <c r="B9" s="81" t="s">
        <v>17</v>
      </c>
      <c r="C9" s="83" t="s">
        <v>11</v>
      </c>
      <c r="D9" s="82"/>
      <c r="E9" s="83" t="s">
        <v>27</v>
      </c>
      <c r="F9" s="32"/>
      <c r="G9" s="1"/>
    </row>
    <row r="10" spans="1:7" x14ac:dyDescent="0.25">
      <c r="A10" s="1"/>
      <c r="B10" s="24" t="s">
        <v>241</v>
      </c>
      <c r="C10" s="21">
        <v>0</v>
      </c>
      <c r="D10" s="14" t="s">
        <v>3</v>
      </c>
      <c r="E10" s="9">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178</v>
      </c>
      <c r="C13" s="12">
        <f>SUM(C10:C12)</f>
        <v>0</v>
      </c>
      <c r="D13" s="13" t="s">
        <v>3</v>
      </c>
      <c r="E13" s="12">
        <f>SUM(E10:E12)</f>
        <v>0</v>
      </c>
      <c r="F13" s="13" t="s">
        <v>3</v>
      </c>
      <c r="G13" s="1"/>
    </row>
    <row r="14" spans="1:7" x14ac:dyDescent="0.25">
      <c r="A14" s="1"/>
      <c r="B14" s="33" t="s">
        <v>179</v>
      </c>
      <c r="C14" s="12">
        <f>C13*(1+'Fane 15. Nøgletal'!C10)^2</f>
        <v>0</v>
      </c>
      <c r="D14" s="13" t="s">
        <v>3</v>
      </c>
      <c r="E14" s="12">
        <f>E13*(1+'Fane 15. Nøgletal'!C10)^2</f>
        <v>0</v>
      </c>
      <c r="F14" s="13" t="s">
        <v>3</v>
      </c>
      <c r="G14" s="1"/>
    </row>
    <row r="15" spans="1:7" x14ac:dyDescent="0.25">
      <c r="A15" s="1"/>
      <c r="B15" s="1"/>
      <c r="C15" s="1"/>
      <c r="D15" s="1"/>
      <c r="E15" s="1"/>
      <c r="F15" s="1"/>
      <c r="G15" s="1"/>
    </row>
    <row r="16" spans="1:7" x14ac:dyDescent="0.25">
      <c r="A16" s="1"/>
      <c r="B16" s="132"/>
      <c r="C16" s="132"/>
      <c r="D16" s="132"/>
      <c r="E16" s="132"/>
      <c r="F16" s="132"/>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32"/>
      <c r="C29" s="132"/>
      <c r="D29" s="132"/>
      <c r="E29" s="132"/>
      <c r="F29" s="132"/>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CwhkW8cnVZ0WVLyWrAULvAkUKTcmW/WbFXtSzNkHpShuaPx/zuKlWtWJT5VWcQW2lESAdw6QB9347DvWTFFzA==" saltValue="qiWFYwBp3P29rbqucv+xgw=="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2" t="s">
        <v>117</v>
      </c>
      <c r="C3" s="112"/>
      <c r="D3" s="112"/>
      <c r="E3" s="1"/>
    </row>
    <row r="4" spans="1:5" ht="15" customHeight="1" x14ac:dyDescent="0.25">
      <c r="A4" s="1"/>
      <c r="B4" s="112"/>
      <c r="C4" s="112"/>
      <c r="D4" s="112"/>
      <c r="E4" s="1"/>
    </row>
    <row r="5" spans="1:5" x14ac:dyDescent="0.25">
      <c r="A5" s="1"/>
      <c r="B5" s="112"/>
      <c r="C5" s="112"/>
      <c r="D5" s="112"/>
      <c r="E5" s="1"/>
    </row>
    <row r="6" spans="1:5" x14ac:dyDescent="0.25">
      <c r="A6" s="1"/>
      <c r="B6" s="1"/>
      <c r="C6" s="1"/>
      <c r="D6" s="1"/>
      <c r="E6" s="1"/>
    </row>
    <row r="7" spans="1:5" x14ac:dyDescent="0.25">
      <c r="A7" s="1"/>
      <c r="B7" s="1"/>
      <c r="C7" s="1"/>
      <c r="D7" s="1"/>
      <c r="E7" s="1"/>
    </row>
    <row r="8" spans="1:5" ht="14.25" customHeight="1" x14ac:dyDescent="0.25">
      <c r="A8" s="1"/>
      <c r="B8" s="113" t="s">
        <v>74</v>
      </c>
      <c r="C8" s="114"/>
      <c r="D8" s="115"/>
      <c r="E8" s="1"/>
    </row>
    <row r="9" spans="1:5" x14ac:dyDescent="0.25">
      <c r="A9" s="1"/>
      <c r="B9" s="69" t="s">
        <v>180</v>
      </c>
      <c r="C9" s="9">
        <v>0</v>
      </c>
      <c r="D9" s="14" t="s">
        <v>3</v>
      </c>
      <c r="E9" s="1"/>
    </row>
    <row r="10" spans="1:5" x14ac:dyDescent="0.25">
      <c r="A10" s="1"/>
      <c r="B10" s="65" t="s">
        <v>10</v>
      </c>
      <c r="C10" s="9">
        <f>-C9*'Fane 5. Individuelt eff. krav'!C9</f>
        <v>0</v>
      </c>
      <c r="D10" s="14" t="s">
        <v>3</v>
      </c>
      <c r="E10" s="1"/>
    </row>
    <row r="11" spans="1:5" x14ac:dyDescent="0.25">
      <c r="A11" s="1"/>
      <c r="B11" s="65" t="s">
        <v>22</v>
      </c>
      <c r="C11" s="9">
        <f>-C9*'Fane 15. Nøgletal'!C21</f>
        <v>0</v>
      </c>
      <c r="D11" s="14" t="s">
        <v>3</v>
      </c>
      <c r="E11" s="1"/>
    </row>
    <row r="12" spans="1:5" x14ac:dyDescent="0.25">
      <c r="A12" s="1"/>
      <c r="B12" s="77" t="s">
        <v>75</v>
      </c>
      <c r="C12" s="12">
        <f>SUM(C9:C11)*(1+'Fane 15. Nøgletal'!C9)^2</f>
        <v>0</v>
      </c>
      <c r="D12" s="13" t="s">
        <v>3</v>
      </c>
      <c r="E12" s="1"/>
    </row>
    <row r="13" spans="1:5" x14ac:dyDescent="0.25">
      <c r="A13" s="1"/>
      <c r="B13" s="1"/>
      <c r="C13" s="1"/>
      <c r="D13" s="1"/>
      <c r="E13" s="1"/>
    </row>
    <row r="14" spans="1:5" ht="15" customHeight="1" x14ac:dyDescent="0.25">
      <c r="A14" s="1"/>
      <c r="B14" s="113" t="s">
        <v>85</v>
      </c>
      <c r="C14" s="114"/>
      <c r="D14" s="115"/>
      <c r="E14" s="1"/>
    </row>
    <row r="15" spans="1:5" x14ac:dyDescent="0.25">
      <c r="A15" s="1"/>
      <c r="B15" s="69" t="s">
        <v>180</v>
      </c>
      <c r="C15" s="9">
        <v>0</v>
      </c>
      <c r="D15" s="14" t="s">
        <v>3</v>
      </c>
      <c r="E15" s="1"/>
    </row>
    <row r="16" spans="1:5" x14ac:dyDescent="0.25">
      <c r="A16" s="1"/>
      <c r="B16" s="65" t="s">
        <v>10</v>
      </c>
      <c r="C16" s="9">
        <f>-C15*'Fane 5. Individuelt eff. krav'!C9</f>
        <v>0</v>
      </c>
      <c r="D16" s="14" t="s">
        <v>3</v>
      </c>
      <c r="E16" s="1"/>
    </row>
    <row r="17" spans="1:5" x14ac:dyDescent="0.25">
      <c r="A17" s="1"/>
      <c r="B17" s="65" t="s">
        <v>22</v>
      </c>
      <c r="C17" s="9">
        <f>-C15*'Fane 15. Nøgletal'!C21</f>
        <v>0</v>
      </c>
      <c r="D17" s="14" t="s">
        <v>3</v>
      </c>
      <c r="E17" s="1"/>
    </row>
    <row r="18" spans="1:5" x14ac:dyDescent="0.25">
      <c r="A18" s="1"/>
      <c r="B18" s="77" t="s">
        <v>86</v>
      </c>
      <c r="C18" s="12">
        <f>SUM(C15:C17)*(1+'Fane 15. Nøgletal'!C10)^3</f>
        <v>0</v>
      </c>
      <c r="D18" s="13" t="s">
        <v>3</v>
      </c>
      <c r="E18" s="1"/>
    </row>
    <row r="19" spans="1:5" x14ac:dyDescent="0.25">
      <c r="A19" s="1"/>
      <c r="B19" s="1"/>
      <c r="C19" s="1"/>
      <c r="D19" s="1"/>
      <c r="E19" s="1"/>
    </row>
    <row r="20" spans="1:5" ht="15" customHeight="1" x14ac:dyDescent="0.25">
      <c r="A20" s="1"/>
      <c r="B20" s="113" t="s">
        <v>141</v>
      </c>
      <c r="C20" s="114"/>
      <c r="D20" s="115"/>
      <c r="E20" s="1"/>
    </row>
    <row r="21" spans="1:5" x14ac:dyDescent="0.25">
      <c r="A21" s="1"/>
      <c r="B21" s="69" t="s">
        <v>180</v>
      </c>
      <c r="C21" s="9">
        <v>0</v>
      </c>
      <c r="D21" s="14" t="s">
        <v>3</v>
      </c>
      <c r="E21" s="1"/>
    </row>
    <row r="22" spans="1:5" x14ac:dyDescent="0.25">
      <c r="A22" s="1"/>
      <c r="B22" s="65" t="s">
        <v>10</v>
      </c>
      <c r="C22" s="9">
        <f>-C21*'Fane 5. Individuelt eff. krav'!C9</f>
        <v>0</v>
      </c>
      <c r="D22" s="14" t="s">
        <v>3</v>
      </c>
      <c r="E22" s="1"/>
    </row>
    <row r="23" spans="1:5" x14ac:dyDescent="0.25">
      <c r="A23" s="1"/>
      <c r="B23" s="65" t="s">
        <v>22</v>
      </c>
      <c r="C23" s="9">
        <f>-C21*'Fane 15. Nøgletal'!C21</f>
        <v>0</v>
      </c>
      <c r="D23" s="14" t="s">
        <v>3</v>
      </c>
      <c r="E23" s="1"/>
    </row>
    <row r="24" spans="1:5" x14ac:dyDescent="0.25">
      <c r="A24" s="1"/>
      <c r="B24" s="77" t="s">
        <v>142</v>
      </c>
      <c r="C24" s="12">
        <f>SUM(C21:C23)*(1+'Fane 15. Nøgletal'!C10)^4</f>
        <v>0</v>
      </c>
      <c r="D24" s="13" t="s">
        <v>3</v>
      </c>
      <c r="E24" s="1"/>
    </row>
    <row r="25" spans="1:5" x14ac:dyDescent="0.25">
      <c r="A25" s="1"/>
      <c r="B25" s="1"/>
      <c r="C25" s="1"/>
      <c r="D25" s="1"/>
      <c r="E25" s="1"/>
    </row>
    <row r="26" spans="1:5" ht="15" customHeight="1" x14ac:dyDescent="0.25">
      <c r="A26" s="1"/>
      <c r="B26" s="113" t="s">
        <v>181</v>
      </c>
      <c r="C26" s="114"/>
      <c r="D26" s="115"/>
      <c r="E26" s="1"/>
    </row>
    <row r="27" spans="1:5" ht="14.25" customHeight="1" x14ac:dyDescent="0.25">
      <c r="A27" s="1"/>
      <c r="B27" s="69" t="s">
        <v>180</v>
      </c>
      <c r="C27" s="9">
        <v>0</v>
      </c>
      <c r="D27" s="14" t="s">
        <v>3</v>
      </c>
      <c r="E27" s="1"/>
    </row>
    <row r="28" spans="1:5" x14ac:dyDescent="0.25">
      <c r="A28" s="1"/>
      <c r="B28" s="65" t="s">
        <v>10</v>
      </c>
      <c r="C28" s="9">
        <f>-C27*'Fane 5. Individuelt eff. krav'!C9</f>
        <v>0</v>
      </c>
      <c r="D28" s="14" t="s">
        <v>3</v>
      </c>
      <c r="E28" s="1"/>
    </row>
    <row r="29" spans="1:5" x14ac:dyDescent="0.25">
      <c r="A29" s="1"/>
      <c r="B29" s="65" t="s">
        <v>22</v>
      </c>
      <c r="C29" s="9">
        <f>-C27*'Fane 15. Nøgletal'!C21</f>
        <v>0</v>
      </c>
      <c r="D29" s="14" t="s">
        <v>3</v>
      </c>
      <c r="E29" s="1"/>
    </row>
    <row r="30" spans="1:5" x14ac:dyDescent="0.25">
      <c r="A30" s="1"/>
      <c r="B30" s="77" t="s">
        <v>182</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IvLmbr4DtpneiyPiJ32GhbmNiUWFLMx5nr6IHJQC/8VBVIFFKuwVW9GdD4g2WaqcgrjR1txgKW2CSmQVhtzavA==" saltValue="uZu1ZGlK0Vzn9TehHuPHx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119</v>
      </c>
      <c r="C3" s="112"/>
      <c r="D3" s="112"/>
      <c r="E3" s="112"/>
      <c r="F3" s="112"/>
      <c r="G3" s="1"/>
    </row>
    <row r="4" spans="1:7" ht="15" customHeight="1" x14ac:dyDescent="0.25">
      <c r="A4" s="1"/>
      <c r="B4" s="112"/>
      <c r="C4" s="112"/>
      <c r="D4" s="112"/>
      <c r="E4" s="112"/>
      <c r="F4" s="112"/>
      <c r="G4" s="1"/>
    </row>
    <row r="5" spans="1:7" x14ac:dyDescent="0.25">
      <c r="A5" s="1"/>
      <c r="B5" s="112"/>
      <c r="C5" s="112"/>
      <c r="D5" s="112"/>
      <c r="E5" s="112"/>
      <c r="F5" s="112"/>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13" t="s">
        <v>184</v>
      </c>
      <c r="C8" s="114"/>
      <c r="D8" s="114"/>
      <c r="E8" s="114"/>
      <c r="F8" s="115"/>
      <c r="G8" s="1"/>
    </row>
    <row r="9" spans="1:7" x14ac:dyDescent="0.25">
      <c r="A9" s="1"/>
      <c r="B9" s="31" t="s">
        <v>18</v>
      </c>
      <c r="C9" s="133" t="s">
        <v>11</v>
      </c>
      <c r="D9" s="134"/>
      <c r="E9" s="133" t="s">
        <v>27</v>
      </c>
      <c r="F9" s="134"/>
      <c r="G9" s="1"/>
    </row>
    <row r="10" spans="1:7" x14ac:dyDescent="0.25">
      <c r="A10" s="1"/>
      <c r="B10" s="71" t="s">
        <v>224</v>
      </c>
      <c r="C10" s="9">
        <v>0</v>
      </c>
      <c r="D10" s="14" t="s">
        <v>3</v>
      </c>
      <c r="E10" s="9">
        <v>0</v>
      </c>
      <c r="F10" s="14" t="s">
        <v>3</v>
      </c>
      <c r="G10" s="1"/>
    </row>
    <row r="11" spans="1:7" x14ac:dyDescent="0.25">
      <c r="A11" s="1"/>
      <c r="B11" s="33" t="s">
        <v>144</v>
      </c>
      <c r="C11" s="12">
        <f>SUM(C10:C10)</f>
        <v>0</v>
      </c>
      <c r="D11" s="13" t="s">
        <v>3</v>
      </c>
      <c r="E11" s="12">
        <f>SUM(E10:E10)</f>
        <v>0</v>
      </c>
      <c r="F11" s="13" t="s">
        <v>3</v>
      </c>
      <c r="G11" s="1"/>
    </row>
    <row r="12" spans="1:7" x14ac:dyDescent="0.25">
      <c r="A12" s="1"/>
      <c r="B12" s="33" t="s">
        <v>217</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32"/>
      <c r="C14" s="132"/>
      <c r="D14" s="132"/>
      <c r="E14" s="132"/>
      <c r="F14" s="132"/>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32"/>
      <c r="C21" s="132"/>
      <c r="D21" s="132"/>
      <c r="E21" s="132"/>
      <c r="F21" s="132"/>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32"/>
      <c r="C27" s="132"/>
      <c r="D27" s="132"/>
      <c r="E27" s="132"/>
      <c r="F27" s="132"/>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mPfOp01bz/TO/mxBI2JHK0Aa7v6Ex2Ht8pazY7Vzj7raHDFrpxUIRkrt21bT01/1mdE4xYyn/bi/EJuvtOb9g==" saltValue="4d9xRA/DWBgb8TRuZNc8tg=="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12" t="s">
        <v>120</v>
      </c>
      <c r="C3" s="112"/>
      <c r="D3" s="1"/>
    </row>
    <row r="4" spans="1:4" ht="15" customHeight="1" x14ac:dyDescent="0.25">
      <c r="A4" s="1"/>
      <c r="B4" s="112"/>
      <c r="C4" s="112"/>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123</v>
      </c>
      <c r="C9" s="61">
        <v>8.0799999999999997E-2</v>
      </c>
      <c r="D9" s="1"/>
    </row>
    <row r="10" spans="1:4" x14ac:dyDescent="0.25">
      <c r="A10" s="1"/>
      <c r="B10" s="59" t="s">
        <v>229</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51</v>
      </c>
      <c r="C14" s="19"/>
      <c r="D14" s="1"/>
    </row>
    <row r="15" spans="1:4" x14ac:dyDescent="0.25">
      <c r="A15" s="1"/>
      <c r="B15" s="59" t="s">
        <v>216</v>
      </c>
      <c r="C15" s="60">
        <v>0</v>
      </c>
      <c r="D15" s="1"/>
    </row>
    <row r="16" spans="1:4" x14ac:dyDescent="0.25">
      <c r="A16" s="1"/>
      <c r="B16" s="59" t="s">
        <v>230</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52</v>
      </c>
      <c r="C20" s="19"/>
      <c r="D20" s="1"/>
    </row>
    <row r="21" spans="1:4" x14ac:dyDescent="0.25">
      <c r="A21" s="1"/>
      <c r="B21" s="37" t="s">
        <v>60</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yfcLkkja5tEVGyvyXnN28QyXpIKUDHQKU/+1RJRNHqw01iTAY3fUVhxn1nUV/s+HzAc5yWDfRI8Ib5qHlg1Emw==" saltValue="5hjpU9h9UXJQPyZ8PTApW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13. Tilknyttet virksomhed</vt:lpstr>
      <vt:lpstr>Fane 9. Korrektion af ØR2023</vt:lpstr>
      <vt:lpstr>Fane 10. Anlægsprojekter (§ 19)</vt:lpstr>
      <vt:lpstr>Fane 11.1. Varige tillæg</vt:lpstr>
      <vt:lpstr>Fane 11.2. Engangstillæg</vt:lpstr>
      <vt:lpstr>Fane 12. Periodevise driftsomk.</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2024-05-06T07:45:39Z</cp:lastPrinted>
  <dcterms:created xsi:type="dcterms:W3CDTF">2016-06-02T08:51:18Z</dcterms:created>
  <dcterms:modified xsi:type="dcterms:W3CDTF">2024-08-26T08:50:07Z</dcterms:modified>
</cp:coreProperties>
</file>