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ARWOS SPILDEVAND AS (S00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C32" i="2"/>
  <c r="E24" i="32" l="1"/>
  <c r="E32" i="32" s="1"/>
  <c r="E34" i="32" s="1"/>
  <c r="E28" i="32" l="1"/>
  <c r="C17" i="19"/>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8"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<sst xmlns="http://schemas.openxmlformats.org/spreadsheetml/2006/main" count="619" uniqueCount="293">
  <si>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</si>
  <si>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</si>
  <si>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</si>
  <si>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</si>
  <si>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</si>
  <si>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</si>
  <si>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</si>
  <si>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</si>
  <si>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</si>
  <si>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</si>
  <si>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</si>
  <si>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</si>
  <si>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</si>
  <si>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</si>
  <si>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</si>
  <si>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</si>
  <si>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</si>
  <si>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</si>
  <si>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</si>
  <si>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</si>
  <si>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</si>
  <si>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</si>
  <si>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</si>
  <si>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</si>
  <si>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</si>
  <si>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</si>
  <si>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</si>
  <si>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</si>
  <si>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</si>
  <si>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</si>
  <si>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</si>
  <si>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</si>
  <si>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</si>
  <si>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</si>
  <si>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</si>
  <si>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</si>
  <si>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</si>
  <si>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</si>
  <si>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</si>
  <si>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</si>
  <si>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</si>
  <si>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</si>
  <si>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</si>
  <si>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</si>
  <si>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</si>
  <si>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</si>
  <si>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</si>
  <si>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</si>
  <si>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</si>
  <si>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</si>
  <si>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</si>
  <si>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</si>
  <si>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</si>
  <si>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</si>
  <si>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</si>
  <si>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</si>
  <si>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</si>
  <si>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</si>
  <si>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</si>
  <si>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</si>
  <si>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</si>
  <si>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</si>
  <si>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</si>
  <si>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</si>
  <si>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</si>
  <si>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</si>
  <si>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</si>
  <si>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</si>
  <si>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</si>
  <si>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</si>
  <si>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</si>
  <si>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</si>
  <si>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</si>
  <si>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</si>
  <si>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</si>
  <si>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</si>
  <si>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</si>
  <si>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</si>
  <si>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</si>
  <si>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</si>
  <si>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</si>
  <si>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</si>
  <si>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</si>
  <si>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</si>
  <si>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</si>
  <si>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</si>
  <si>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</si>
  <si>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</si>
  <si>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</si>
  <si>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</si>
  <si>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</si>
  <si>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</si>
  <si>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</si>
  <si>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</si>
  <si>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</si>
  <si>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</si>
  <si>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</si>
  <si>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</si>
  <si>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</si>
  <si>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</si>
  <si>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</si>
  <si>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</si>
  <si>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</si>
  <si>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</si>
  <si>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</si>
  <si>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</si>
  <si>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</si>
  <si>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</si>
  <si>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</si>
  <si>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</si>
  <si>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</si>
  <si>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</si>
  <si>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</si>
  <si>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</si>
  <si>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</si>
  <si>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</si>
  <si>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</si>
  <si>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</si>
  <si>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</si>
  <si>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</si>
  <si>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</si>
  <si>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</si>
  <si>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</si>
  <si>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</si>
  <si>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</si>
  <si>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</si>
  <si>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</si>
  <si>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</si>
  <si>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</si>
  <si>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</si>
  <si>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</si>
  <si>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</si>
  <si>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</si>
  <si>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</si>
  <si>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</si>
  <si>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</si>
  <si>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</si>
  <si>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</si>
  <si>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</si>
  <si>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</si>
  <si>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</si>
  <si>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</si>
  <si>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</si>
  <si>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</si>
  <si>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</si>
  <si>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</si>
  <si>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</si>
  <si>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</si>
  <si>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</si>
  <si>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</si>
  <si>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</si>
  <si>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</si>
  <si>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</si>
  <si>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</si>
  <si>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</si>
  <si>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</si>
  <si>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</si>
  <si>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</si>
  <si>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</si>
  <si>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</si>
  <si>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</si>
  <si>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</si>
  <si>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</si>
  <si>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</si>
  <si>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</si>
  <si>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</si>
  <si>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</si>
  <si>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</si>
  <si>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</si>
  <si>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</si>
  <si>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</si>
  <si>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</si>
  <si>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</si>
  <si>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</si>
  <si>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</si>
  <si>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</si>
  <si>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</si>
  <si>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</si>
  <si>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</si>
  <si>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</si>
  <si>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</si>
  <si>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</si>
  <si>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</si>
  <si>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</si>
  <si>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</si>
  <si>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</si>
  <si>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</si>
  <si>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</si>
  <si>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</si>
  <si>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</si>
  <si>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</si>
  <si>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</si>
  <si>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</si>
  <si>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</si>
  <si>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</si>
  <si>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</si>
  <si>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</si>
  <si>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</si>
  <si>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</si>
  <si>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</si>
  <si>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</si>
  <si>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</si>
  <si>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</si>
  <si>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</si>
  <si>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</si>
  <si>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</si>
  <si>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</si>
  <si>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</si>
  <si>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</si>
  <si>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</si>
  <si>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</si>
  <si>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</si>
  <si>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</si>
  <si>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</si>
  <si>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</si>
  <si>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</si>
  <si>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</si>
  <si>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</si>
  <si>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</si>
  <si>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</si>
  <si>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</si>
  <si>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</si>
  <si>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</si>
  <si>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</si>
  <si>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</si>
  <si>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</si>
  <si>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</si>
  <si>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</si>
  <si>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</si>
  <si>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</si>
  <si>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</si>
  <si>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</si>
  <si>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</si>
  <si>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</si>
  <si>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</si>
  <si>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</si>
  <si>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</si>
  <si>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</si>
  <si>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</si>
  <si>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</si>
  <si>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</si>
  <si>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</si>
  <si>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</si>
  <si>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</si>
  <si>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</si>
  <si>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</si>
  <si>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</si>
  <si>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</si>
  <si>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</si>
  <si>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</si>
  <si>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</si>
  <si>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</si>
  <si>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</si>
  <si>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</si>
  <si>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</si>
  <si>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</si>
  <si>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</si>
  <si>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</si>
  <si>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</si>
  <si>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</si>
  <si>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</si>
  <si>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</si>
  <si>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</si>
  <si>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</si>
  <si>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</si>
  <si>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</si>
  <si>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</si>
  <si>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</si>
  <si>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</si>
  <si>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</si>
  <si>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</si>
  <si>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</si>
  <si>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</si>
  <si>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</si>
  <si>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</si>
  <si>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</si>
  <si>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</si>
  <si>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</si>
  <si>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</si>
  <si>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</si>
  <si>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Ingen anlægsprojekter</t>
  </si>
  <si>
    <t>Øvrige afgifter</t>
  </si>
  <si>
    <t>Betalinger til projekters medfinansiering ØR</t>
  </si>
  <si>
    <t>Indregnet fradrag i økonomisk ramme for 2022</t>
  </si>
  <si>
    <t>Indregnet fradrag i økonomisk ramme for 2023</t>
  </si>
  <si>
    <t>Korrektion af fradrag i den økonomiske ramme for 2023</t>
  </si>
  <si>
    <t>Tillæg/fradrag i den økonnomiske ramme for 2023</t>
  </si>
  <si>
    <t>Diverse mål</t>
  </si>
  <si>
    <t xml:space="preserve">Flytning af ledninger </t>
  </si>
  <si>
    <t>Udvidelse af forsyningsområdet</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</si>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</sst>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4" t="s">
        <v>4</v>
      </c>
      <c r="E6" s="114"/>
      <c r="F6" s="114"/>
      <c r="G6" s="114"/>
      <c r="H6" s="3"/>
      <c r="I6" s="1"/>
    </row>
    <row r="7" spans="1:9" ht="15" customHeight="1" x14ac:dyDescent="0.25">
      <c r="A7" s="1"/>
      <c r="B7" s="1"/>
      <c r="C7" s="3"/>
      <c r="D7" s="114"/>
      <c r="E7" s="114"/>
      <c r="F7" s="114"/>
      <c r="G7" s="114"/>
      <c r="H7" s="3"/>
      <c r="I7" s="1"/>
    </row>
    <row r="8" spans="1:9" ht="15.75" x14ac:dyDescent="0.25">
      <c r="A8" s="1"/>
      <c r="B8" s="1"/>
      <c r="C8" s="4"/>
      <c r="D8" s="119" t="s">
        <v>225</v>
      </c>
      <c r="E8" s="119"/>
      <c r="F8" s="119"/>
      <c r="G8" s="11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8" t="s">
        <v>5</v>
      </c>
      <c r="E11" s="118"/>
      <c r="F11" s="118"/>
      <c r="G11" s="118"/>
      <c r="H11" s="5"/>
      <c r="I11" s="1"/>
    </row>
    <row r="12" spans="1:9" x14ac:dyDescent="0.25">
      <c r="A12" s="1"/>
      <c r="B12" s="1"/>
      <c r="C12" s="1"/>
      <c r="D12" s="1"/>
      <c r="E12" s="1"/>
      <c r="F12" s="1"/>
      <c r="G12" s="1"/>
      <c r="H12" s="5"/>
      <c r="I12" s="1"/>
    </row>
    <row r="13" spans="1:9" x14ac:dyDescent="0.25">
      <c r="A13" s="1"/>
      <c r="B13" s="1"/>
      <c r="C13" s="6" t="s">
        <v>6</v>
      </c>
      <c r="D13" s="120" t="s">
        <v>169</v>
      </c>
      <c r="E13" s="121"/>
      <c r="F13" s="121"/>
      <c r="G13" s="122"/>
      <c r="H13" s="5"/>
      <c r="I13" s="1"/>
    </row>
    <row r="14" spans="1:9" x14ac:dyDescent="0.25">
      <c r="A14" s="1"/>
      <c r="B14" s="1"/>
      <c r="C14" s="6" t="s">
        <v>16</v>
      </c>
      <c r="D14" s="111" t="s">
        <v>235</v>
      </c>
      <c r="E14" s="112"/>
      <c r="F14" s="112"/>
      <c r="G14" s="113"/>
      <c r="H14" s="5"/>
      <c r="I14" s="1"/>
    </row>
    <row r="15" spans="1:9" x14ac:dyDescent="0.25">
      <c r="A15" s="1"/>
      <c r="B15" s="1"/>
      <c r="C15" s="6" t="s">
        <v>34</v>
      </c>
      <c r="D15" s="111" t="s">
        <v>170</v>
      </c>
      <c r="E15" s="112"/>
      <c r="F15" s="112"/>
      <c r="G15" s="113"/>
      <c r="H15" s="5"/>
      <c r="I15" s="1"/>
    </row>
    <row r="16" spans="1:9" x14ac:dyDescent="0.25">
      <c r="A16" s="1"/>
      <c r="B16" s="1"/>
      <c r="C16" s="6" t="s">
        <v>35</v>
      </c>
      <c r="D16" s="111" t="s">
        <v>182</v>
      </c>
      <c r="E16" s="112"/>
      <c r="F16" s="112"/>
      <c r="G16" s="113"/>
      <c r="H16" s="5"/>
      <c r="I16" s="1"/>
    </row>
    <row r="17" spans="1:9" x14ac:dyDescent="0.25">
      <c r="A17" s="1"/>
      <c r="B17" s="1"/>
      <c r="C17" s="6" t="s">
        <v>119</v>
      </c>
      <c r="D17" s="111" t="s">
        <v>183</v>
      </c>
      <c r="E17" s="112"/>
      <c r="F17" s="112"/>
      <c r="G17" s="113"/>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15" t="s">
        <v>12</v>
      </c>
      <c r="E21" s="116"/>
      <c r="F21" s="116"/>
      <c r="G21" s="117"/>
      <c r="H21" s="5"/>
      <c r="I21" s="1"/>
    </row>
    <row r="22" spans="1:9" x14ac:dyDescent="0.25">
      <c r="A22" s="1"/>
      <c r="B22" s="1"/>
      <c r="C22" s="6" t="s">
        <v>83</v>
      </c>
      <c r="D22" s="102" t="s">
        <v>184</v>
      </c>
      <c r="E22" s="103"/>
      <c r="F22" s="103"/>
      <c r="G22" s="104"/>
      <c r="H22" s="5"/>
      <c r="I22" s="1"/>
    </row>
    <row r="23" spans="1:9" x14ac:dyDescent="0.25">
      <c r="A23" s="1"/>
      <c r="B23" s="1"/>
      <c r="C23" s="6" t="s">
        <v>8</v>
      </c>
      <c r="D23" s="102" t="s">
        <v>261</v>
      </c>
      <c r="E23" s="103"/>
      <c r="F23" s="103"/>
      <c r="G23" s="104"/>
      <c r="H23" s="5"/>
      <c r="I23" s="1"/>
    </row>
    <row r="24" spans="1:9" x14ac:dyDescent="0.25">
      <c r="A24" s="1"/>
      <c r="B24" s="1"/>
      <c r="C24" s="6" t="s">
        <v>9</v>
      </c>
      <c r="D24" s="102" t="s">
        <v>185</v>
      </c>
      <c r="E24" s="103"/>
      <c r="F24" s="103"/>
      <c r="G24" s="104"/>
      <c r="H24" s="5"/>
      <c r="I24" s="1"/>
    </row>
    <row r="25" spans="1:9" x14ac:dyDescent="0.25">
      <c r="A25" s="1"/>
      <c r="B25" s="1"/>
      <c r="C25" s="6" t="s">
        <v>246</v>
      </c>
      <c r="D25" s="102" t="s">
        <v>237</v>
      </c>
      <c r="E25" s="103"/>
      <c r="F25" s="103"/>
      <c r="G25" s="104"/>
      <c r="H25" s="1"/>
      <c r="I25" s="1"/>
    </row>
    <row r="26" spans="1:9" x14ac:dyDescent="0.25">
      <c r="A26" s="1"/>
      <c r="B26" s="1"/>
      <c r="C26" s="6" t="s">
        <v>247</v>
      </c>
      <c r="D26" s="102" t="s">
        <v>84</v>
      </c>
      <c r="E26" s="103"/>
      <c r="F26" s="103"/>
      <c r="G26" s="104"/>
      <c r="H26" s="1"/>
      <c r="I26" s="1"/>
    </row>
    <row r="27" spans="1:9" x14ac:dyDescent="0.25">
      <c r="A27" s="1"/>
      <c r="B27" s="1"/>
      <c r="C27" s="6" t="s">
        <v>248</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249</v>
      </c>
      <c r="D31" s="105" t="s">
        <v>105</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uJmtHODLZ4jMiGyIekNgG83xQqX9Fe5BVSEi0ev4K9bryA73LKqzuAXE5kZqpn0qKgwQHf05br+cotfjbSwUdg==" saltValue="hc3iPpH7hQql06ehiQ14+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199</v>
      </c>
      <c r="C8" s="136"/>
      <c r="D8" s="137"/>
      <c r="E8" s="1"/>
      <c r="F8" s="1"/>
    </row>
    <row r="9" spans="1:6" ht="15" customHeight="1" x14ac:dyDescent="0.25">
      <c r="A9" s="1"/>
      <c r="B9" s="26" t="s">
        <v>32</v>
      </c>
      <c r="C9" s="58" t="s">
        <v>240</v>
      </c>
      <c r="D9" s="11"/>
      <c r="E9" s="1"/>
      <c r="F9" s="1"/>
    </row>
    <row r="10" spans="1:6" x14ac:dyDescent="0.25">
      <c r="A10" s="1"/>
      <c r="B10" s="94" t="s">
        <v>273</v>
      </c>
      <c r="C10" s="9">
        <v>2344353</v>
      </c>
      <c r="D10" s="14" t="s">
        <v>3</v>
      </c>
      <c r="E10" s="1"/>
      <c r="F10" s="1"/>
    </row>
    <row r="11" spans="1:6" x14ac:dyDescent="0.25">
      <c r="A11" s="1"/>
      <c r="B11" s="94" t="s">
        <v>274</v>
      </c>
      <c r="C11" s="9">
        <v>122637</v>
      </c>
      <c r="D11" s="14" t="s">
        <v>3</v>
      </c>
      <c r="E11" s="1"/>
      <c r="F11" s="1"/>
    </row>
    <row r="12" spans="1:6" x14ac:dyDescent="0.25">
      <c r="A12" s="1"/>
      <c r="B12" s="94" t="s">
        <v>275</v>
      </c>
      <c r="C12" s="9">
        <v>823483</v>
      </c>
      <c r="D12" s="14" t="s">
        <v>3</v>
      </c>
      <c r="E12" s="1"/>
      <c r="F12" s="1"/>
    </row>
    <row r="13" spans="1:6" x14ac:dyDescent="0.25">
      <c r="A13" s="1"/>
      <c r="B13" s="94" t="s">
        <v>276</v>
      </c>
      <c r="C13" s="9">
        <v>305678</v>
      </c>
      <c r="D13" s="14" t="s">
        <v>3</v>
      </c>
      <c r="E13" s="1"/>
      <c r="F13" s="1"/>
    </row>
    <row r="14" spans="1:6" x14ac:dyDescent="0.25">
      <c r="A14" s="1"/>
      <c r="B14" s="94" t="s">
        <v>277</v>
      </c>
      <c r="C14" s="9">
        <v>411693</v>
      </c>
      <c r="D14" s="14" t="s">
        <v>3</v>
      </c>
      <c r="E14" s="1"/>
      <c r="F14" s="1"/>
    </row>
    <row r="15" spans="1:6" x14ac:dyDescent="0.25">
      <c r="A15" s="1"/>
      <c r="B15" s="94" t="s">
        <v>282</v>
      </c>
      <c r="C15" s="9">
        <v>6642738</v>
      </c>
      <c r="D15" s="14" t="s">
        <v>3</v>
      </c>
      <c r="E15" s="1"/>
      <c r="F15" s="1"/>
    </row>
    <row r="16" spans="1:6" x14ac:dyDescent="0.25">
      <c r="A16" s="1"/>
      <c r="B16" s="94" t="s">
        <v>281</v>
      </c>
      <c r="C16" s="9">
        <v>1452793</v>
      </c>
      <c r="D16" s="14" t="s">
        <v>3</v>
      </c>
      <c r="E16" s="1"/>
      <c r="F16" s="1"/>
    </row>
    <row r="17" spans="1:6" x14ac:dyDescent="0.25">
      <c r="A17" s="1"/>
      <c r="B17" s="32" t="s">
        <v>200</v>
      </c>
      <c r="C17" s="12">
        <f>SUM(C10:C16)</f>
        <v>12103375</v>
      </c>
      <c r="D17" s="13" t="s">
        <v>3</v>
      </c>
      <c r="E17" s="1"/>
      <c r="F17" s="1"/>
    </row>
    <row r="18" spans="1:6" x14ac:dyDescent="0.25">
      <c r="A18" s="1"/>
      <c r="B18" s="32" t="s">
        <v>201</v>
      </c>
      <c r="C18" s="12">
        <f>C17*(1+'Fane 15. Nøgletal'!C15)^2</f>
        <v>12980474.633340001</v>
      </c>
      <c r="D18" s="13" t="s">
        <v>3</v>
      </c>
      <c r="E18" s="1"/>
      <c r="F18" s="1"/>
    </row>
    <row r="19" spans="1:6" x14ac:dyDescent="0.25">
      <c r="A19" s="1"/>
      <c r="B19" s="16"/>
      <c r="C19" s="15"/>
      <c r="D19" s="15"/>
      <c r="E19" s="1"/>
      <c r="F19" s="1"/>
    </row>
    <row r="20" spans="1:6" x14ac:dyDescent="0.25">
      <c r="A20" s="1"/>
      <c r="B20" s="16"/>
      <c r="C20" s="15"/>
      <c r="D20" s="15"/>
      <c r="E20" s="1"/>
      <c r="F20" s="1"/>
    </row>
    <row r="21" spans="1:6" x14ac:dyDescent="0.25">
      <c r="A21" s="1"/>
      <c r="B21" s="135" t="s">
        <v>117</v>
      </c>
      <c r="C21" s="136"/>
      <c r="D21" s="137"/>
      <c r="E21" s="1"/>
      <c r="F21" s="1"/>
    </row>
    <row r="22" spans="1:6" x14ac:dyDescent="0.25">
      <c r="A22" s="1"/>
      <c r="B22" s="94" t="s">
        <v>99</v>
      </c>
      <c r="C22" s="9">
        <v>0</v>
      </c>
      <c r="D22" s="14" t="s">
        <v>3</v>
      </c>
      <c r="E22" s="1"/>
      <c r="F22" s="1"/>
    </row>
    <row r="23" spans="1:6" x14ac:dyDescent="0.25">
      <c r="A23" s="1"/>
      <c r="B23" s="94" t="s">
        <v>129</v>
      </c>
      <c r="C23" s="9">
        <v>0</v>
      </c>
      <c r="D23" s="14" t="s">
        <v>3</v>
      </c>
      <c r="E23" s="1"/>
      <c r="F23" s="1"/>
    </row>
    <row r="24" spans="1:6" x14ac:dyDescent="0.25">
      <c r="A24" s="1"/>
      <c r="B24" s="94" t="s">
        <v>155</v>
      </c>
      <c r="C24" s="9">
        <v>0</v>
      </c>
      <c r="D24" s="14" t="s">
        <v>3</v>
      </c>
      <c r="E24" s="1"/>
      <c r="F24" s="1"/>
    </row>
    <row r="25" spans="1:6" x14ac:dyDescent="0.25">
      <c r="A25" s="1"/>
      <c r="B25" s="33" t="s">
        <v>202</v>
      </c>
      <c r="C25" s="9">
        <v>0</v>
      </c>
      <c r="D25" s="40" t="s">
        <v>3</v>
      </c>
      <c r="E25" s="1"/>
      <c r="F25" s="1"/>
    </row>
    <row r="26" spans="1:6" x14ac:dyDescent="0.25">
      <c r="A26" s="1"/>
      <c r="B26" s="135"/>
      <c r="C26" s="136"/>
      <c r="D26" s="137"/>
      <c r="E26" s="1"/>
      <c r="F26" s="1"/>
    </row>
    <row r="27" spans="1:6" x14ac:dyDescent="0.25">
      <c r="A27" s="1"/>
      <c r="B27" s="1"/>
      <c r="C27" s="1"/>
      <c r="D27" s="1"/>
      <c r="E27" s="1"/>
      <c r="F27" s="1"/>
    </row>
    <row r="28" spans="1:6" x14ac:dyDescent="0.25">
      <c r="A28" s="1"/>
      <c r="B28" s="1"/>
      <c r="C28" s="1"/>
      <c r="D28" s="1"/>
      <c r="E28" s="1"/>
      <c r="F28" s="1"/>
    </row>
    <row r="29" spans="1:6" x14ac:dyDescent="0.25">
      <c r="A29" s="1"/>
      <c r="B29" s="135" t="s">
        <v>98</v>
      </c>
      <c r="C29" s="136"/>
      <c r="D29" s="137"/>
      <c r="E29" s="1"/>
      <c r="F29" s="1"/>
    </row>
    <row r="30" spans="1:6" x14ac:dyDescent="0.25">
      <c r="A30" s="1"/>
      <c r="B30" s="94" t="s">
        <v>99</v>
      </c>
      <c r="C30" s="9">
        <v>0</v>
      </c>
      <c r="D30" s="14" t="s">
        <v>3</v>
      </c>
      <c r="E30" s="1"/>
      <c r="F30" s="1"/>
    </row>
    <row r="31" spans="1:6" x14ac:dyDescent="0.25">
      <c r="A31" s="1"/>
      <c r="B31" s="94" t="s">
        <v>129</v>
      </c>
      <c r="C31" s="9">
        <v>0</v>
      </c>
      <c r="D31" s="14" t="s">
        <v>3</v>
      </c>
      <c r="E31" s="1"/>
      <c r="F31" s="1"/>
    </row>
    <row r="32" spans="1:6" x14ac:dyDescent="0.25">
      <c r="A32" s="1"/>
      <c r="B32" s="94" t="s">
        <v>155</v>
      </c>
      <c r="C32" s="9">
        <v>0</v>
      </c>
      <c r="D32" s="14" t="s">
        <v>3</v>
      </c>
      <c r="E32" s="1"/>
      <c r="F32" s="1"/>
    </row>
    <row r="33" spans="1:6" x14ac:dyDescent="0.25">
      <c r="A33" s="1"/>
      <c r="B33" s="33" t="s">
        <v>202</v>
      </c>
      <c r="C33" s="9">
        <v>0</v>
      </c>
      <c r="D33" s="40" t="s">
        <v>3</v>
      </c>
      <c r="E33" s="1"/>
      <c r="F33" s="1"/>
    </row>
    <row r="34" spans="1:6" x14ac:dyDescent="0.25">
      <c r="A34" s="1"/>
      <c r="B34" s="135"/>
      <c r="C34" s="136"/>
      <c r="D34" s="137"/>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9"/>
      <c r="B51" s="49"/>
      <c r="C51" s="49"/>
      <c r="D51" s="49"/>
      <c r="E51" s="49"/>
      <c r="F51" s="49"/>
    </row>
    <row r="52" spans="1:6" x14ac:dyDescent="0.25">
      <c r="A52" s="49"/>
      <c r="B52" s="49"/>
      <c r="C52" s="49"/>
      <c r="D52" s="49"/>
      <c r="E52" s="49"/>
      <c r="F52" s="49"/>
    </row>
    <row r="53" spans="1:6" x14ac:dyDescent="0.25">
      <c r="A53" s="49"/>
      <c r="B53" s="49"/>
      <c r="C53" s="49"/>
      <c r="D53" s="49"/>
      <c r="E53" s="49"/>
      <c r="F53" s="49"/>
    </row>
    <row r="54" spans="1:6" x14ac:dyDescent="0.25">
      <c r="A54" s="49"/>
      <c r="B54" s="49"/>
      <c r="C54" s="49"/>
      <c r="D54" s="49"/>
      <c r="E54" s="49"/>
      <c r="F54" s="49"/>
    </row>
  </sheetData>
  <sheetProtection algorithmName="SHA-512" hashValue="kVLtbf0SSg1eYAKbXLD8l/9TDXOuidVOkikTHvf1hoFNGxdAfIGxvgPThXypjiaTtDIJfwiJeFx7j/WWck5TOw==" saltValue="MBmel6yvsBRRTObRq5Ki7Q==" spinCount="100000" sheet="1" objects="1" scenarios="1"/>
  <mergeCells count="6">
    <mergeCell ref="B34:D34"/>
    <mergeCell ref="B3:D4"/>
    <mergeCell ref="B8:D8"/>
    <mergeCell ref="B21:D21"/>
    <mergeCell ref="B29:D29"/>
    <mergeCell ref="B26:D26"/>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203</v>
      </c>
      <c r="C3" s="128"/>
      <c r="D3" s="128"/>
      <c r="E3" s="128"/>
      <c r="F3" s="128"/>
      <c r="G3" s="1"/>
    </row>
    <row r="4" spans="1:7" ht="15" customHeight="1" x14ac:dyDescent="0.25">
      <c r="A4" s="1"/>
      <c r="B4" s="128"/>
      <c r="C4" s="128"/>
      <c r="D4" s="128"/>
      <c r="E4" s="128"/>
      <c r="F4" s="128"/>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5" t="s">
        <v>178</v>
      </c>
      <c r="C8" s="136"/>
      <c r="D8" s="136"/>
      <c r="E8" s="136"/>
      <c r="F8" s="137"/>
      <c r="G8" s="1"/>
    </row>
    <row r="9" spans="1:7" x14ac:dyDescent="0.25">
      <c r="A9" s="1"/>
      <c r="B9" s="140" t="s">
        <v>204</v>
      </c>
      <c r="C9" s="141"/>
      <c r="D9" s="142"/>
      <c r="E9" s="9">
        <v>-861094.91747161746</v>
      </c>
      <c r="F9" s="14" t="s">
        <v>3</v>
      </c>
      <c r="G9" s="1"/>
    </row>
    <row r="10" spans="1:7" x14ac:dyDescent="0.25">
      <c r="A10" s="1"/>
      <c r="B10" s="140" t="s">
        <v>271</v>
      </c>
      <c r="C10" s="141"/>
      <c r="D10" s="142"/>
      <c r="E10" s="9">
        <v>0</v>
      </c>
      <c r="F10" s="14" t="s">
        <v>3</v>
      </c>
      <c r="G10" s="1"/>
    </row>
    <row r="11" spans="1:7" x14ac:dyDescent="0.25">
      <c r="A11" s="1"/>
      <c r="B11" s="32"/>
      <c r="C11" s="27"/>
      <c r="D11" s="27"/>
      <c r="E11" s="27"/>
      <c r="F11" s="19"/>
      <c r="G11" s="1"/>
    </row>
    <row r="12" spans="1:7" ht="81" customHeight="1" x14ac:dyDescent="0.25">
      <c r="A12" s="1"/>
      <c r="B12" s="125" t="s">
        <v>291</v>
      </c>
      <c r="C12" s="126"/>
      <c r="D12" s="126"/>
      <c r="E12" s="126"/>
      <c r="F12" s="127"/>
      <c r="G12" s="1"/>
    </row>
    <row r="13" spans="1:7" ht="27" customHeight="1" x14ac:dyDescent="0.25">
      <c r="A13" s="1"/>
      <c r="B13" s="1"/>
      <c r="C13" s="1"/>
      <c r="D13" s="1"/>
      <c r="E13" s="1"/>
      <c r="F13" s="1"/>
      <c r="G13" s="1"/>
    </row>
    <row r="14" spans="1:7" ht="28.5" customHeight="1" x14ac:dyDescent="0.25">
      <c r="A14" s="1"/>
      <c r="B14" s="135" t="s">
        <v>179</v>
      </c>
      <c r="C14" s="136"/>
      <c r="D14" s="136"/>
      <c r="E14" s="136"/>
      <c r="F14" s="137"/>
      <c r="G14" s="1"/>
    </row>
    <row r="15" spans="1:7" x14ac:dyDescent="0.25">
      <c r="A15" s="1"/>
      <c r="B15" s="140" t="s">
        <v>283</v>
      </c>
      <c r="C15" s="141"/>
      <c r="D15" s="142"/>
      <c r="E15" s="9">
        <v>0</v>
      </c>
      <c r="F15" s="14" t="s">
        <v>3</v>
      </c>
      <c r="G15" s="1"/>
    </row>
    <row r="16" spans="1:7" x14ac:dyDescent="0.25">
      <c r="A16" s="1"/>
      <c r="B16" s="140" t="s">
        <v>284</v>
      </c>
      <c r="C16" s="141"/>
      <c r="D16" s="142"/>
      <c r="E16" s="9">
        <v>0</v>
      </c>
      <c r="F16" s="14" t="s">
        <v>3</v>
      </c>
      <c r="G16" s="1"/>
    </row>
    <row r="17" spans="1:7" x14ac:dyDescent="0.25">
      <c r="A17" s="1"/>
      <c r="B17" s="32"/>
      <c r="C17" s="27"/>
      <c r="D17" s="27"/>
      <c r="E17" s="27"/>
      <c r="F17" s="19"/>
      <c r="G17" s="1"/>
    </row>
    <row r="18" spans="1:7" ht="31.5" customHeight="1" x14ac:dyDescent="0.25">
      <c r="A18" s="1"/>
      <c r="B18" s="125" t="s">
        <v>292</v>
      </c>
      <c r="C18" s="126"/>
      <c r="D18" s="126"/>
      <c r="E18" s="126"/>
      <c r="F18" s="127"/>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123924745.75096191</v>
      </c>
      <c r="F21" s="14" t="s">
        <v>3</v>
      </c>
      <c r="G21" s="1"/>
    </row>
    <row r="22" spans="1:7" x14ac:dyDescent="0.25">
      <c r="A22" s="1"/>
      <c r="B22" s="91" t="s">
        <v>207</v>
      </c>
      <c r="C22" s="92"/>
      <c r="D22" s="93"/>
      <c r="E22" s="9">
        <v>102741714</v>
      </c>
      <c r="F22" s="14" t="s">
        <v>3</v>
      </c>
      <c r="G22" s="1"/>
    </row>
    <row r="23" spans="1:7" x14ac:dyDescent="0.25">
      <c r="A23" s="1"/>
      <c r="B23" s="91" t="s">
        <v>33</v>
      </c>
      <c r="C23" s="92"/>
      <c r="D23" s="93"/>
      <c r="E23" s="9">
        <v>0</v>
      </c>
      <c r="F23" s="14" t="s">
        <v>3</v>
      </c>
      <c r="G23" s="1"/>
    </row>
    <row r="24" spans="1:7" x14ac:dyDescent="0.25">
      <c r="A24" s="1"/>
      <c r="B24" s="89" t="s">
        <v>278</v>
      </c>
      <c r="C24" s="90"/>
      <c r="D24" s="96"/>
      <c r="E24" s="72">
        <f>E21-(E22-E23)</f>
        <v>21183031.750961915</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5" t="s">
        <v>285</v>
      </c>
      <c r="C27" s="136"/>
      <c r="D27" s="136"/>
      <c r="E27" s="136"/>
      <c r="F27" s="137"/>
      <c r="G27" s="1"/>
    </row>
    <row r="28" spans="1:7" x14ac:dyDescent="0.25">
      <c r="A28" s="1"/>
      <c r="B28" s="138" t="s">
        <v>286</v>
      </c>
      <c r="C28" s="139"/>
      <c r="D28" s="159"/>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5"/>
      <c r="C29" s="136"/>
      <c r="D29" s="136"/>
      <c r="E29" s="136"/>
      <c r="F29" s="137"/>
      <c r="G29" s="1"/>
    </row>
    <row r="30" spans="1:7" x14ac:dyDescent="0.25">
      <c r="A30" s="1"/>
      <c r="B30" s="1"/>
      <c r="C30" s="1"/>
      <c r="D30" s="1"/>
      <c r="E30" s="1"/>
      <c r="F30" s="1"/>
      <c r="G30" s="1"/>
    </row>
    <row r="31" spans="1:7" ht="28.5" customHeight="1" x14ac:dyDescent="0.25">
      <c r="A31" s="1"/>
      <c r="B31" s="135" t="s">
        <v>272</v>
      </c>
      <c r="C31" s="136"/>
      <c r="D31" s="136"/>
      <c r="E31" s="136"/>
      <c r="F31" s="137"/>
      <c r="G31" s="1"/>
    </row>
    <row r="32" spans="1:7" x14ac:dyDescent="0.25">
      <c r="A32" s="1"/>
      <c r="B32" s="160" t="s">
        <v>143</v>
      </c>
      <c r="C32" s="161"/>
      <c r="D32" s="162"/>
      <c r="E32" s="74">
        <f>IF(AND(E9&gt;0,(E9+E24)&gt;0),0,IF(AND(E9&gt;0,(E9+E24)&lt;0),(E9+E24),IF(AND(E9&lt;0,E24&lt;0),E24,0)))</f>
        <v>0</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3">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hY5DUfje/Z4xQuEEsFq9jyU+b5iVPtfpZsvOqlON8wPPbKOsS+Ht0NrgUmxj1usTvd/805XDOksA5xrTHGdgGg==" saltValue="e2PtHQAt0VJNcABaGtxLVw==" spinCount="100000" sheet="1" objects="1" scenarios="1"/>
  <mergeCells count="17">
    <mergeCell ref="B15:D15"/>
    <mergeCell ref="B16:D16"/>
    <mergeCell ref="B3:F4"/>
    <mergeCell ref="B8:F8"/>
    <mergeCell ref="B9:D9"/>
    <mergeCell ref="B10:D10"/>
    <mergeCell ref="B14:F14"/>
    <mergeCell ref="B12:F12"/>
    <mergeCell ref="B34:D34"/>
    <mergeCell ref="B35:F35"/>
    <mergeCell ref="B18:F18"/>
    <mergeCell ref="B27:F27"/>
    <mergeCell ref="B28:D28"/>
    <mergeCell ref="B31:F31"/>
    <mergeCell ref="B33:D33"/>
    <mergeCell ref="B32:D32"/>
    <mergeCell ref="B29:F29"/>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270</v>
      </c>
      <c r="C8" s="136"/>
      <c r="D8" s="136"/>
      <c r="E8" s="136"/>
      <c r="F8" s="136"/>
      <c r="G8" s="136"/>
      <c r="H8" s="137"/>
      <c r="I8" s="1"/>
    </row>
    <row r="9" spans="1:9" ht="15" customHeight="1" x14ac:dyDescent="0.25">
      <c r="A9" s="1"/>
      <c r="B9" s="132" t="s">
        <v>251</v>
      </c>
      <c r="C9" s="133"/>
      <c r="D9" s="133"/>
      <c r="E9" s="133"/>
      <c r="F9" s="133"/>
      <c r="G9" s="133"/>
      <c r="H9" s="134"/>
      <c r="I9" s="1"/>
    </row>
    <row r="10" spans="1:9" x14ac:dyDescent="0.25">
      <c r="A10" s="1"/>
      <c r="B10" s="163" t="s">
        <v>252</v>
      </c>
      <c r="C10" s="164"/>
      <c r="D10" s="164"/>
      <c r="E10" s="164"/>
      <c r="F10" s="165"/>
      <c r="G10" s="9">
        <v>0</v>
      </c>
      <c r="H10" s="9" t="s">
        <v>3</v>
      </c>
      <c r="I10" s="1"/>
    </row>
    <row r="11" spans="1:9" x14ac:dyDescent="0.25">
      <c r="A11" s="1"/>
      <c r="B11" s="163" t="s">
        <v>253</v>
      </c>
      <c r="C11" s="164"/>
      <c r="D11" s="164"/>
      <c r="E11" s="164"/>
      <c r="F11" s="165"/>
      <c r="G11" s="9">
        <v>0</v>
      </c>
      <c r="H11" s="9" t="s">
        <v>3</v>
      </c>
      <c r="I11" s="1"/>
    </row>
    <row r="12" spans="1:9" x14ac:dyDescent="0.25">
      <c r="A12" s="1"/>
      <c r="B12" s="163" t="s">
        <v>254</v>
      </c>
      <c r="C12" s="164"/>
      <c r="D12" s="164"/>
      <c r="E12" s="164"/>
      <c r="F12" s="165"/>
      <c r="G12" s="9">
        <v>-6024166.6666666698</v>
      </c>
      <c r="H12" s="9" t="s">
        <v>3</v>
      </c>
      <c r="I12" s="1"/>
    </row>
    <row r="13" spans="1:9" x14ac:dyDescent="0.25">
      <c r="A13" s="1"/>
      <c r="B13" s="163" t="s">
        <v>255</v>
      </c>
      <c r="C13" s="164"/>
      <c r="D13" s="164"/>
      <c r="E13" s="164"/>
      <c r="F13" s="165"/>
      <c r="G13" s="9">
        <v>-6024166.6666666698</v>
      </c>
      <c r="H13" s="9" t="s">
        <v>3</v>
      </c>
      <c r="I13" s="1"/>
    </row>
    <row r="14" spans="1:9" x14ac:dyDescent="0.25">
      <c r="A14" s="1"/>
      <c r="B14" s="163" t="s">
        <v>256</v>
      </c>
      <c r="C14" s="164"/>
      <c r="D14" s="164"/>
      <c r="E14" s="164"/>
      <c r="F14" s="165"/>
      <c r="G14" s="9">
        <v>-6024166.6666666698</v>
      </c>
      <c r="H14" s="9" t="s">
        <v>3</v>
      </c>
      <c r="I14" s="1"/>
    </row>
    <row r="15" spans="1:9" x14ac:dyDescent="0.25">
      <c r="A15" s="1"/>
      <c r="B15" s="163" t="s">
        <v>257</v>
      </c>
      <c r="C15" s="164"/>
      <c r="D15" s="164"/>
      <c r="E15" s="164"/>
      <c r="F15" s="165"/>
      <c r="G15" s="9">
        <v>-6024166.6666666698</v>
      </c>
      <c r="H15" s="9" t="s">
        <v>3</v>
      </c>
      <c r="I15" s="1"/>
    </row>
    <row r="16" spans="1:9" x14ac:dyDescent="0.25">
      <c r="A16" s="1"/>
      <c r="B16" s="163" t="s">
        <v>258</v>
      </c>
      <c r="C16" s="164"/>
      <c r="D16" s="164"/>
      <c r="E16" s="164"/>
      <c r="F16" s="165"/>
      <c r="G16" s="9">
        <v>-6024166.6666666698</v>
      </c>
      <c r="H16" s="9" t="s">
        <v>3</v>
      </c>
      <c r="I16" s="1"/>
    </row>
    <row r="17" spans="1:9" x14ac:dyDescent="0.25">
      <c r="A17" s="1"/>
      <c r="B17" s="163" t="s">
        <v>259</v>
      </c>
      <c r="C17" s="164"/>
      <c r="D17" s="164"/>
      <c r="E17" s="164"/>
      <c r="F17" s="165"/>
      <c r="G17" s="9">
        <v>-6024166.6666666698</v>
      </c>
      <c r="H17" s="9" t="s">
        <v>3</v>
      </c>
      <c r="I17" s="1"/>
    </row>
    <row r="18" spans="1:9" x14ac:dyDescent="0.25">
      <c r="A18" s="1"/>
      <c r="B18" s="135" t="s">
        <v>260</v>
      </c>
      <c r="C18" s="136"/>
      <c r="D18" s="136"/>
      <c r="E18" s="136"/>
      <c r="F18" s="137"/>
      <c r="G18" s="12">
        <f>SUM(G10:G17)</f>
        <v>-36145000.000000022</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0AMnWfU4Cl1Ap6Nu7j3fulCU2G9i8GjASwQyHrSJqYQvUc1cl/XuHVQ9wTMVvKKsu7xQjJIzADeimpX8M4o0Gg==" saltValue="Z14P0vJHekOW0N9m0ie95w=="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262</v>
      </c>
      <c r="C3" s="128"/>
      <c r="D3" s="128"/>
      <c r="E3" s="128"/>
      <c r="F3" s="128"/>
      <c r="G3" s="1"/>
    </row>
    <row r="4" spans="1:7" ht="1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208</v>
      </c>
      <c r="C9" s="136"/>
      <c r="D9" s="136"/>
      <c r="E9" s="136"/>
      <c r="F9" s="137"/>
      <c r="G9" s="1"/>
    </row>
    <row r="10" spans="1:7" x14ac:dyDescent="0.25">
      <c r="A10" s="1"/>
      <c r="B10" s="125" t="s">
        <v>100</v>
      </c>
      <c r="C10" s="126"/>
      <c r="D10" s="127"/>
      <c r="E10" s="7">
        <v>0</v>
      </c>
      <c r="F10" s="8" t="s">
        <v>3</v>
      </c>
      <c r="G10" s="1"/>
    </row>
    <row r="11" spans="1:7" x14ac:dyDescent="0.25">
      <c r="A11" s="1"/>
      <c r="B11" s="140" t="s">
        <v>209</v>
      </c>
      <c r="C11" s="141"/>
      <c r="D11" s="142"/>
      <c r="E11" s="7">
        <v>0</v>
      </c>
      <c r="F11" s="8" t="s">
        <v>3</v>
      </c>
      <c r="G11" s="1"/>
    </row>
    <row r="12" spans="1:7" x14ac:dyDescent="0.25">
      <c r="A12" s="1"/>
      <c r="B12" s="138" t="s">
        <v>101</v>
      </c>
      <c r="C12" s="139"/>
      <c r="D12" s="159"/>
      <c r="E12" s="10">
        <f>E11-E10</f>
        <v>0</v>
      </c>
      <c r="F12" s="11" t="s">
        <v>3</v>
      </c>
      <c r="G12" s="1"/>
    </row>
    <row r="13" spans="1:7" x14ac:dyDescent="0.25">
      <c r="A13" s="1"/>
      <c r="B13" s="135" t="s">
        <v>94</v>
      </c>
      <c r="C13" s="136"/>
      <c r="D13" s="136"/>
      <c r="E13" s="136"/>
      <c r="F13" s="137"/>
      <c r="G13" s="1"/>
    </row>
    <row r="14" spans="1:7" x14ac:dyDescent="0.25">
      <c r="A14" s="1"/>
      <c r="B14" s="140" t="s">
        <v>210</v>
      </c>
      <c r="C14" s="141"/>
      <c r="D14" s="142"/>
      <c r="E14" s="9">
        <v>0</v>
      </c>
      <c r="F14" s="8" t="s">
        <v>3</v>
      </c>
      <c r="G14" s="1"/>
    </row>
    <row r="15" spans="1:7" x14ac:dyDescent="0.25">
      <c r="A15" s="1"/>
      <c r="B15" s="125" t="s">
        <v>211</v>
      </c>
      <c r="C15" s="126"/>
      <c r="D15" s="127"/>
      <c r="E15" s="9">
        <v>0</v>
      </c>
      <c r="F15" s="8" t="s">
        <v>3</v>
      </c>
      <c r="G15" s="1"/>
    </row>
    <row r="16" spans="1:7" x14ac:dyDescent="0.25">
      <c r="A16" s="1"/>
      <c r="B16" s="138" t="s">
        <v>101</v>
      </c>
      <c r="C16" s="139"/>
      <c r="D16" s="159"/>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SKKSoJqukjLcwqHEaDH0PnJE5UEhSuSuFwFW2jfG6BOVoMZU135PtzzNUkOeugXSxdowzpCFSBwmHjFPS8GGg==" saltValue="WArrY2bztRbZMsE9mcGgO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263</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219</v>
      </c>
      <c r="C8" s="136"/>
      <c r="D8" s="136"/>
      <c r="E8" s="136"/>
      <c r="F8" s="136"/>
      <c r="G8" s="136"/>
      <c r="H8" s="136"/>
      <c r="I8" s="136"/>
      <c r="J8" s="136"/>
      <c r="K8" s="137"/>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280</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DaxZQwTGZxRWyetuhuPfDMoKN/XdjwsBgmGdn91Qp8ZOYLu33W9DDvcfkT2nTsU8ch31ps4y5zBcvKOR2ksgnQ==" saltValue="hFfxwcKVQCAbHwnbYRWdo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264</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287</v>
      </c>
      <c r="C11" s="21">
        <v>169076</v>
      </c>
      <c r="D11" s="14" t="s">
        <v>3</v>
      </c>
      <c r="E11" s="9">
        <v>3634670</v>
      </c>
      <c r="F11" s="14" t="s">
        <v>3</v>
      </c>
      <c r="G11" s="1"/>
    </row>
    <row r="12" spans="1:7" x14ac:dyDescent="0.25">
      <c r="A12" s="1"/>
      <c r="B12" s="23" t="s">
        <v>288</v>
      </c>
      <c r="C12" s="21">
        <v>2016</v>
      </c>
      <c r="D12" s="14" t="s">
        <v>3</v>
      </c>
      <c r="E12" s="9">
        <v>28537</v>
      </c>
      <c r="F12" s="14" t="s">
        <v>3</v>
      </c>
      <c r="G12" s="1"/>
    </row>
    <row r="13" spans="1:7" ht="14.25" customHeight="1" x14ac:dyDescent="0.25">
      <c r="A13" s="1"/>
      <c r="B13" s="23" t="s">
        <v>289</v>
      </c>
      <c r="C13" s="21">
        <v>295428</v>
      </c>
      <c r="D13" s="14" t="s">
        <v>3</v>
      </c>
      <c r="E13" s="9">
        <v>847384</v>
      </c>
      <c r="F13" s="14" t="s">
        <v>3</v>
      </c>
      <c r="G13" s="1"/>
    </row>
    <row r="14" spans="1:7" x14ac:dyDescent="0.25">
      <c r="A14" s="1"/>
      <c r="B14" s="32" t="s">
        <v>156</v>
      </c>
      <c r="C14" s="12">
        <f>SUM(C10:C13)</f>
        <v>466520</v>
      </c>
      <c r="D14" s="13" t="s">
        <v>3</v>
      </c>
      <c r="E14" s="12">
        <f>SUM(E10:E13)</f>
        <v>4510591</v>
      </c>
      <c r="F14" s="13" t="s">
        <v>3</v>
      </c>
      <c r="G14" s="1"/>
    </row>
    <row r="15" spans="1:7" x14ac:dyDescent="0.25">
      <c r="A15" s="1"/>
      <c r="B15" s="32" t="s">
        <v>213</v>
      </c>
      <c r="C15" s="12">
        <f>C14*(1+'Fane 15. Nøgletal'!C15)</f>
        <v>483128.11200000002</v>
      </c>
      <c r="D15" s="13" t="s">
        <v>3</v>
      </c>
      <c r="E15" s="12">
        <f>E14*(1+'Fane 15. Nøgletal'!C15)</f>
        <v>4671168.0396000007</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9"/>
      <c r="B51" s="49"/>
      <c r="C51" s="49"/>
      <c r="D51" s="49"/>
      <c r="E51" s="49"/>
      <c r="F51" s="49"/>
      <c r="G51" s="49"/>
    </row>
  </sheetData>
  <sheetProtection algorithmName="SHA-512" hashValue="rBGbcoEa9oMTyirlWYKXOYbvhziku1gIvBBLmksL+oWWHXIb5uPohgzM6N4InGpSjMyz8WnOO4AFRe8x+cUs6w==" saltValue="brlBPa7C8G2qS6+2TYnVQ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265</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97</v>
      </c>
      <c r="C8" s="136"/>
      <c r="D8" s="136"/>
      <c r="E8" s="136"/>
      <c r="F8" s="137"/>
      <c r="G8" s="1"/>
    </row>
    <row r="9" spans="1:7" x14ac:dyDescent="0.25">
      <c r="A9" s="1"/>
      <c r="B9" s="84" t="s">
        <v>17</v>
      </c>
      <c r="C9" s="84" t="s">
        <v>11</v>
      </c>
      <c r="D9" s="85"/>
      <c r="E9" s="84" t="s">
        <v>31</v>
      </c>
      <c r="F9" s="31"/>
      <c r="G9" s="1"/>
    </row>
    <row r="10" spans="1:7" x14ac:dyDescent="0.25">
      <c r="A10" s="1"/>
      <c r="B10" s="23" t="s">
        <v>287</v>
      </c>
      <c r="C10" s="21">
        <v>2084859</v>
      </c>
      <c r="D10" s="14" t="s">
        <v>3</v>
      </c>
      <c r="E10" s="9">
        <v>0</v>
      </c>
      <c r="F10" s="14" t="s">
        <v>3</v>
      </c>
      <c r="G10" s="1"/>
    </row>
    <row r="11" spans="1:7" x14ac:dyDescent="0.25">
      <c r="A11" s="1"/>
      <c r="B11" s="32" t="s">
        <v>232</v>
      </c>
      <c r="C11" s="12">
        <f>SUM(C10:C10)</f>
        <v>2084859</v>
      </c>
      <c r="D11" s="13" t="s">
        <v>3</v>
      </c>
      <c r="E11" s="12">
        <f>SUM(E10:E10)</f>
        <v>0</v>
      </c>
      <c r="F11" s="13" t="s">
        <v>3</v>
      </c>
      <c r="G11" s="1"/>
    </row>
    <row r="12" spans="1:7" x14ac:dyDescent="0.25">
      <c r="A12" s="1"/>
      <c r="B12" s="32" t="s">
        <v>136</v>
      </c>
      <c r="C12" s="12">
        <f>C11*(1+'Fane 15. Nøgletal'!C15)^2</f>
        <v>2235943.22770224</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eU25rfBdhP9FnnrJ7UQ6E/y658oGHSUR0wtTcHSqf39kT3qXQ6psINVDlhFkdjsvCv7Y4zCdNpJjPdQ9mvTMuA==" saltValue="wGsO41p3R/IVEAAIMKVy4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266</v>
      </c>
      <c r="C3" s="128"/>
      <c r="D3" s="128"/>
      <c r="E3" s="128"/>
      <c r="F3" s="128"/>
      <c r="G3" s="1"/>
    </row>
    <row r="4" spans="1:7" ht="15" customHeight="1" x14ac:dyDescent="0.25">
      <c r="A4" s="1"/>
      <c r="B4" s="128"/>
      <c r="C4" s="128"/>
      <c r="D4" s="128"/>
      <c r="E4" s="128"/>
      <c r="F4" s="128"/>
      <c r="G4" s="1"/>
    </row>
    <row r="5" spans="1:7" x14ac:dyDescent="0.25">
      <c r="A5" s="1"/>
      <c r="B5" s="128"/>
      <c r="C5" s="128"/>
      <c r="D5" s="128"/>
      <c r="E5" s="128"/>
      <c r="F5" s="12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91</v>
      </c>
      <c r="C9" s="136"/>
      <c r="D9" s="136"/>
      <c r="E9" s="136"/>
      <c r="F9" s="137"/>
      <c r="G9" s="1"/>
    </row>
    <row r="10" spans="1:7" x14ac:dyDescent="0.25">
      <c r="A10" s="1"/>
      <c r="B10" s="163" t="s">
        <v>224</v>
      </c>
      <c r="C10" s="164"/>
      <c r="D10" s="165"/>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24</v>
      </c>
      <c r="C12" s="130"/>
      <c r="D12" s="131"/>
      <c r="E12" s="9">
        <f>-E10*'Fane 15. Nøgletal'!C31</f>
        <v>0</v>
      </c>
      <c r="F12" s="14" t="s">
        <v>3</v>
      </c>
      <c r="G12" s="1"/>
    </row>
    <row r="13" spans="1:7" x14ac:dyDescent="0.25">
      <c r="A13" s="1"/>
      <c r="B13" s="135" t="s">
        <v>92</v>
      </c>
      <c r="C13" s="136"/>
      <c r="D13" s="137"/>
      <c r="E13" s="12">
        <f>SUM(E10:E12)*(1+'Fane 15. Nøgletal'!C15)^2</f>
        <v>0</v>
      </c>
      <c r="F13" s="13" t="s">
        <v>3</v>
      </c>
      <c r="G13" s="1"/>
    </row>
    <row r="14" spans="1:7" x14ac:dyDescent="0.25">
      <c r="A14" s="1"/>
      <c r="B14" s="1"/>
      <c r="C14" s="1"/>
      <c r="D14" s="1"/>
      <c r="E14" s="1"/>
      <c r="F14" s="1"/>
      <c r="G14" s="1"/>
    </row>
    <row r="15" spans="1:7" ht="15" customHeight="1" x14ac:dyDescent="0.25">
      <c r="A15" s="1"/>
      <c r="B15" s="135" t="s">
        <v>130</v>
      </c>
      <c r="C15" s="136"/>
      <c r="D15" s="136"/>
      <c r="E15" s="136"/>
      <c r="F15" s="137"/>
      <c r="G15" s="1"/>
    </row>
    <row r="16" spans="1:7" x14ac:dyDescent="0.25">
      <c r="A16" s="1"/>
      <c r="B16" s="163" t="s">
        <v>224</v>
      </c>
      <c r="C16" s="164"/>
      <c r="D16" s="165"/>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24</v>
      </c>
      <c r="C18" s="130"/>
      <c r="D18" s="131"/>
      <c r="E18" s="9">
        <f>-E16*'Fane 15. Nøgletal'!C31</f>
        <v>0</v>
      </c>
      <c r="F18" s="14" t="s">
        <v>3</v>
      </c>
      <c r="G18" s="1"/>
    </row>
    <row r="19" spans="1:7" x14ac:dyDescent="0.25">
      <c r="A19" s="1"/>
      <c r="B19" s="135" t="s">
        <v>131</v>
      </c>
      <c r="C19" s="136"/>
      <c r="D19" s="137"/>
      <c r="E19" s="12">
        <f>SUM(E16:E18)*(1+'Fane 15. Nøgletal'!C15)^3</f>
        <v>0</v>
      </c>
      <c r="F19" s="13" t="s">
        <v>3</v>
      </c>
      <c r="G19" s="1"/>
    </row>
    <row r="20" spans="1:7" x14ac:dyDescent="0.25">
      <c r="A20" s="1"/>
      <c r="B20" s="1"/>
      <c r="C20" s="1"/>
      <c r="D20" s="1"/>
      <c r="E20" s="1"/>
      <c r="F20" s="1"/>
      <c r="G20" s="1"/>
    </row>
    <row r="21" spans="1:7" ht="15" customHeight="1" x14ac:dyDescent="0.25">
      <c r="A21" s="1"/>
      <c r="B21" s="135" t="s">
        <v>157</v>
      </c>
      <c r="C21" s="136"/>
      <c r="D21" s="136"/>
      <c r="E21" s="136"/>
      <c r="F21" s="137"/>
      <c r="G21" s="1"/>
    </row>
    <row r="22" spans="1:7" x14ac:dyDescent="0.25">
      <c r="A22" s="1"/>
      <c r="B22" s="163" t="s">
        <v>224</v>
      </c>
      <c r="C22" s="164"/>
      <c r="D22" s="165"/>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24</v>
      </c>
      <c r="C24" s="130"/>
      <c r="D24" s="131"/>
      <c r="E24" s="9">
        <f>-E22*'Fane 15. Nøgletal'!C31</f>
        <v>0</v>
      </c>
      <c r="F24" s="14" t="s">
        <v>3</v>
      </c>
      <c r="G24" s="1"/>
    </row>
    <row r="25" spans="1:7" x14ac:dyDescent="0.25">
      <c r="A25" s="1"/>
      <c r="B25" s="135" t="s">
        <v>158</v>
      </c>
      <c r="C25" s="136"/>
      <c r="D25" s="137"/>
      <c r="E25" s="12">
        <f>SUM(E22:E24)*(1+'Fane 15. Nøgletal'!C15)^4</f>
        <v>0</v>
      </c>
      <c r="F25" s="13" t="s">
        <v>3</v>
      </c>
      <c r="G25" s="1"/>
    </row>
    <row r="26" spans="1:7" x14ac:dyDescent="0.25">
      <c r="A26" s="1"/>
      <c r="B26" s="1"/>
      <c r="C26" s="1"/>
      <c r="D26" s="1"/>
      <c r="E26" s="1"/>
      <c r="F26" s="1"/>
      <c r="G26" s="1"/>
    </row>
    <row r="27" spans="1:7" ht="15" customHeight="1" x14ac:dyDescent="0.25">
      <c r="A27" s="1"/>
      <c r="B27" s="135" t="s">
        <v>214</v>
      </c>
      <c r="C27" s="136"/>
      <c r="D27" s="136"/>
      <c r="E27" s="136"/>
      <c r="F27" s="137"/>
      <c r="G27" s="1"/>
    </row>
    <row r="28" spans="1:7" ht="14.25" customHeight="1" x14ac:dyDescent="0.25">
      <c r="A28" s="1"/>
      <c r="B28" s="163" t="s">
        <v>224</v>
      </c>
      <c r="C28" s="164"/>
      <c r="D28" s="165"/>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24</v>
      </c>
      <c r="C30" s="130"/>
      <c r="D30" s="131"/>
      <c r="E30" s="9">
        <f>-E28*'Fane 15. Nøgletal'!C31</f>
        <v>0</v>
      </c>
      <c r="F30" s="14" t="s">
        <v>3</v>
      </c>
      <c r="G30" s="1"/>
    </row>
    <row r="31" spans="1:7" x14ac:dyDescent="0.25">
      <c r="A31" s="1"/>
      <c r="B31" s="135" t="s">
        <v>215</v>
      </c>
      <c r="C31" s="136"/>
      <c r="D31" s="13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EnQQiZYoHshdpKqt4/oQJ8s6ur/e6KgY2/PfImiCI6wpiwNWnhwVMYnAox2kUSwxKMzx2URbuGtiRb7zfcxtg==" saltValue="PaEoLo5Tkh2895RXFB6sr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1.85546875" style="2" customWidth="1"/>
    <col min="2" max="2" width="42.140625" style="2" customWidth="1"/>
    <col min="3" max="3" width="15.5703125" style="2" customWidth="1"/>
    <col min="4" max="4" width="3.28515625" style="2" customWidth="1"/>
    <col min="5" max="5" width="17.140625" style="2" customWidth="1"/>
    <col min="6" max="6" width="3.28515625" style="2" customWidth="1"/>
    <col min="7" max="7" width="1.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267</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132</v>
      </c>
      <c r="C8" s="136"/>
      <c r="D8" s="136"/>
      <c r="E8" s="136"/>
      <c r="F8" s="137"/>
      <c r="G8" s="1"/>
    </row>
    <row r="9" spans="1:7" ht="15" customHeight="1" x14ac:dyDescent="0.25">
      <c r="A9" s="1"/>
      <c r="B9" s="30" t="s">
        <v>133</v>
      </c>
      <c r="C9" s="30" t="s">
        <v>11</v>
      </c>
      <c r="D9" s="31"/>
      <c r="E9" s="30" t="s">
        <v>31</v>
      </c>
      <c r="F9" s="31"/>
      <c r="G9" s="1"/>
    </row>
    <row r="10" spans="1:7" x14ac:dyDescent="0.25">
      <c r="A10" s="1"/>
      <c r="B10" s="23" t="s">
        <v>279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73X60qF1jY9Uo7p3p/BRIJp20BLmU2qo6omcGqIQja7PgGLlZMi+UCiy3qJBytdBFevUa+nSwZJdVdo+keGHQ==" saltValue="yb8uPvZXV7DOb1Xv86Prb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268</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93</v>
      </c>
      <c r="C9" s="136"/>
      <c r="D9" s="136"/>
      <c r="E9" s="136"/>
      <c r="F9" s="13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cEQddyzvBHeJ3cvKXUcn3MaUCZglAyRych0TqHKxLPUm51/mSzo4IO4o+JY4TsOLmuQWGSBwTmqdHDS3+FrjsQ==" saltValue="6DxTgNvEX0POr25S92Ciu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121388250.13443866</v>
      </c>
      <c r="D9" s="8" t="s">
        <v>3</v>
      </c>
      <c r="E9" s="1"/>
    </row>
    <row r="10" spans="1:5" ht="17.25" customHeight="1" x14ac:dyDescent="0.25">
      <c r="A10" s="1"/>
      <c r="B10" s="83" t="s">
        <v>39</v>
      </c>
      <c r="C10" s="7">
        <f>'Fane 11.1. Varige tillæg'!C15</f>
        <v>483128.11200000002</v>
      </c>
      <c r="D10" s="8" t="s">
        <v>3</v>
      </c>
      <c r="E10" s="1"/>
    </row>
    <row r="11" spans="1:5" ht="17.25" customHeight="1" x14ac:dyDescent="0.25">
      <c r="A11" s="1"/>
      <c r="B11" s="83" t="s">
        <v>40</v>
      </c>
      <c r="C11" s="9">
        <f>'Fane 11.1. Varige tillæg'!E15</f>
        <v>4671168.0396000007</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584074.16844060761</v>
      </c>
      <c r="D16" s="8" t="s">
        <v>3</v>
      </c>
      <c r="E16" s="1"/>
    </row>
    <row r="17" spans="1:5" ht="17.25" customHeight="1" x14ac:dyDescent="0.25">
      <c r="A17" s="1"/>
      <c r="B17" s="83" t="s">
        <v>10</v>
      </c>
      <c r="C17" s="44">
        <f>-SUM(C9,C10:C16)*'Fane 5. Individuelt eff. krav'!G9</f>
        <v>-1887629.3791771578</v>
      </c>
      <c r="D17" s="8" t="s">
        <v>3</v>
      </c>
      <c r="E17" s="1"/>
    </row>
    <row r="18" spans="1:5" ht="17.25" customHeight="1" x14ac:dyDescent="0.25">
      <c r="A18" s="1"/>
      <c r="B18" s="83" t="s">
        <v>24</v>
      </c>
      <c r="C18" s="44">
        <f>-'Fane 4.1. Gen. krav - drift'!G45</f>
        <v>-738959.86814173404</v>
      </c>
      <c r="D18" s="8" t="s">
        <v>3</v>
      </c>
      <c r="E18" s="1"/>
    </row>
    <row r="19" spans="1:5" ht="17.25" customHeight="1" x14ac:dyDescent="0.25">
      <c r="A19" s="1"/>
      <c r="B19" s="83" t="s">
        <v>25</v>
      </c>
      <c r="C19" s="44">
        <f>-'Fane 4.2. Gen. krav - anlæg'!G43</f>
        <v>-1468814.0985335177</v>
      </c>
      <c r="D19" s="8" t="s">
        <v>3</v>
      </c>
      <c r="E19" s="48"/>
    </row>
    <row r="20" spans="1:5" ht="17.25" customHeight="1" x14ac:dyDescent="0.25">
      <c r="A20" s="1"/>
      <c r="B20" s="89" t="s">
        <v>21</v>
      </c>
      <c r="C20" s="10">
        <f>SUM(C9:C19)</f>
        <v>123031217.10862687</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omk.'!C18+'Fane 6. Ikke-påvirkelige omk.'!C22+'Fane 6. Ikke-påvirkelige omk.'!C30</f>
        <v>12980474.633340001</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2235943.22770224</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-77919.087384590719</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2158024.1403176491</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-6024166.6666666698</v>
      </c>
      <c r="D36" s="11" t="s">
        <v>3</v>
      </c>
      <c r="E36" s="1"/>
    </row>
    <row r="37" spans="1:5" x14ac:dyDescent="0.25">
      <c r="A37" s="1"/>
      <c r="B37" s="32" t="s">
        <v>90</v>
      </c>
      <c r="C37" s="57">
        <f>SUM(C34,C32,C24,C30,C22,C20,C36)</f>
        <v>132145549.21561785</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7D9h+7FN8DWq2v4QVfBQwohxsDP0u9mCtsGKDS8w8cSgPh0f0CgkKSwFXhTRc3Ie7yUL+vW+ENsgOV6MFZGW+A==" saltValue="isMAYUDgL8pUHcdzC+tSd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8" t="s">
        <v>269</v>
      </c>
      <c r="C3" s="128"/>
      <c r="D3" s="1"/>
    </row>
    <row r="4" spans="1:4" ht="25.5" customHeight="1" x14ac:dyDescent="0.25">
      <c r="A4" s="1"/>
      <c r="B4" s="128"/>
      <c r="C4" s="12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Sx5TMxdphNyBDPqiR0KRlsW9vRvw09Pq80jF9VipWjen0pewWvNVsa88x+iv1N5TrAuqcjMXkj+4g8S+0kRKrA==" saltValue="3+3Sm9llyL1pFWTcVC0q1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123031217.10862687</v>
      </c>
      <c r="D9" s="8" t="s">
        <v>3</v>
      </c>
      <c r="E9" s="1"/>
    </row>
    <row r="10" spans="1:5" ht="15" customHeight="1" x14ac:dyDescent="0.25">
      <c r="A10" s="1"/>
      <c r="B10" s="25" t="s">
        <v>19</v>
      </c>
      <c r="C10" s="7">
        <f>SUM(C9:C9)*'Fane 15. Nøgletal'!C15</f>
        <v>4379911.3290671166</v>
      </c>
      <c r="D10" s="8" t="s">
        <v>3</v>
      </c>
      <c r="E10" s="1"/>
    </row>
    <row r="11" spans="1:5" ht="15" customHeight="1" x14ac:dyDescent="0.25">
      <c r="A11" s="1"/>
      <c r="B11" s="25" t="s">
        <v>10</v>
      </c>
      <c r="C11" s="9">
        <f>-SUM(C9:C10)*'Fane 5. Individuelt eff. krav'!G9</f>
        <v>-1891853.8730385266</v>
      </c>
      <c r="D11" s="8" t="s">
        <v>3</v>
      </c>
      <c r="E11" s="1"/>
    </row>
    <row r="12" spans="1:5" ht="15" customHeight="1" x14ac:dyDescent="0.25">
      <c r="A12" s="1"/>
      <c r="B12" s="25" t="s">
        <v>24</v>
      </c>
      <c r="C12" s="9">
        <f>-'Fane 4.1. Gen. krav - drift'!G53</f>
        <v>-749961.50265862828</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124769313.06199682</v>
      </c>
      <c r="D14" s="11" t="s">
        <v>3</v>
      </c>
      <c r="E14" s="1"/>
    </row>
    <row r="15" spans="1:5" x14ac:dyDescent="0.25">
      <c r="A15" s="1"/>
      <c r="B15" s="32" t="s">
        <v>12</v>
      </c>
      <c r="C15" s="27"/>
      <c r="D15" s="19"/>
      <c r="E15" s="1"/>
    </row>
    <row r="16" spans="1:5" ht="15" customHeight="1" x14ac:dyDescent="0.25">
      <c r="A16" s="1"/>
      <c r="B16" s="30" t="s">
        <v>12</v>
      </c>
      <c r="C16" s="10">
        <f>'Fane 6. Ikke-påvirkelige omk.'!C18*(1+'Fane 15. Nøgletal'!C15)+'Fane 6. Ikke-påvirkelige omk.'!C26+'Fane 6. Ikke-påvirkelige omk.'!C34</f>
        <v>13442579.530286906</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-6024166.6666666698</v>
      </c>
      <c r="D22" s="11" t="s">
        <v>3</v>
      </c>
      <c r="E22" s="1"/>
    </row>
    <row r="23" spans="1:5" x14ac:dyDescent="0.25">
      <c r="A23" s="1"/>
      <c r="B23" s="32" t="s">
        <v>128</v>
      </c>
      <c r="C23" s="12">
        <f>SUM(C14,C16,C18,C20,C22)</f>
        <v>132187725.92561705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nxCq1cdRryMKwZaGK43tY4MpsLyTgSRaxCfJBYj4IhXW+dj4+JAMo1pbdDCOe4fgpR+9f1l45pTjbq/EBjjMCg==" saltValue="ii20zNgiAlRD4dMcr+HVZ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124769313.06199682</v>
      </c>
      <c r="D9" s="8" t="s">
        <v>3</v>
      </c>
      <c r="E9" s="1"/>
    </row>
    <row r="10" spans="1:5" ht="15" customHeight="1" x14ac:dyDescent="0.25">
      <c r="A10" s="1"/>
      <c r="B10" s="25" t="s">
        <v>19</v>
      </c>
      <c r="C10" s="7">
        <f>SUM(C9:C9)*'Fane 15. Nøgletal'!C15</f>
        <v>4441787.5450070864</v>
      </c>
      <c r="D10" s="8" t="s">
        <v>3</v>
      </c>
      <c r="E10" s="1"/>
    </row>
    <row r="11" spans="1:5" ht="15" customHeight="1" x14ac:dyDescent="0.25">
      <c r="A11" s="1"/>
      <c r="B11" s="25" t="s">
        <v>10</v>
      </c>
      <c r="C11" s="9">
        <f>-SUM(C9:C10)*'Fane 5. Individuelt eff. krav'!G9</f>
        <v>-1918580.6147417503</v>
      </c>
      <c r="D11" s="8" t="s">
        <v>3</v>
      </c>
      <c r="E11" s="1"/>
    </row>
    <row r="12" spans="1:5" ht="15" customHeight="1" x14ac:dyDescent="0.25">
      <c r="A12" s="1"/>
      <c r="B12" s="25" t="s">
        <v>24</v>
      </c>
      <c r="C12" s="9">
        <f>-'Fane 4.1. Gen. krav - drift'!G58</f>
        <v>-761126.92951021006</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126531393.06275193</v>
      </c>
      <c r="D14" s="11" t="s">
        <v>3</v>
      </c>
      <c r="E14" s="1"/>
    </row>
    <row r="15" spans="1:5" x14ac:dyDescent="0.25">
      <c r="A15" s="1"/>
      <c r="B15" s="32" t="s">
        <v>12</v>
      </c>
      <c r="C15" s="27"/>
      <c r="D15" s="19"/>
      <c r="E15" s="1"/>
    </row>
    <row r="16" spans="1:5" ht="15" customHeight="1" x14ac:dyDescent="0.25">
      <c r="A16" s="1"/>
      <c r="B16" s="30" t="s">
        <v>12</v>
      </c>
      <c r="C16" s="10">
        <f>'Fane 6. Ikke-påvirkelige omk.'!C18*(1+'Fane 15. Nøgletal'!C15)^2+'Fane 6. Ikke-påvirkelige omk.'!C24+'Fane 6. Ikke-påvirkelige omk.'!C32</f>
        <v>13921135.361565121</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-6024166.6666666698</v>
      </c>
      <c r="D22" s="11" t="s">
        <v>3</v>
      </c>
      <c r="E22" s="1"/>
    </row>
    <row r="23" spans="1:5" x14ac:dyDescent="0.25">
      <c r="A23" s="1"/>
      <c r="B23" s="32" t="s">
        <v>149</v>
      </c>
      <c r="C23" s="12">
        <f>SUM(C14,C16,C18,C20,C22)</f>
        <v>134428361.75765041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QuvhYmWdL1dF/QG3yoC5ex5TVUqT2RBwqFNBLeLZXjYbZhUopUTnZpVHW5Zvgwr/AEWaXWhX4VAP3c0x5wXEw==" saltValue="SYvkripQ8ouMmAZXBwVCP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126531393.06275193</v>
      </c>
      <c r="D9" s="8" t="s">
        <v>3</v>
      </c>
      <c r="E9" s="1"/>
    </row>
    <row r="10" spans="1:5" ht="15" customHeight="1" x14ac:dyDescent="0.25">
      <c r="A10" s="1"/>
      <c r="B10" s="25" t="s">
        <v>19</v>
      </c>
      <c r="C10" s="7">
        <f>SUM(C9:C9)*'Fane 15. Nøgletal'!C15</f>
        <v>4504517.5930339685</v>
      </c>
      <c r="D10" s="8" t="s">
        <v>3</v>
      </c>
      <c r="E10" s="1"/>
    </row>
    <row r="11" spans="1:5" ht="15" customHeight="1" x14ac:dyDescent="0.25">
      <c r="A11" s="1"/>
      <c r="B11" s="25" t="s">
        <v>10</v>
      </c>
      <c r="C11" s="9">
        <f>-SUM(C9:C10)*'Fane 5. Individuelt eff. krav'!G9</f>
        <v>-1945676.1596967273</v>
      </c>
      <c r="D11" s="8" t="s">
        <v>3</v>
      </c>
      <c r="E11" s="1"/>
    </row>
    <row r="12" spans="1:5" ht="15" customHeight="1" x14ac:dyDescent="0.25">
      <c r="A12" s="1"/>
      <c r="B12" s="25" t="s">
        <v>24</v>
      </c>
      <c r="C12" s="9">
        <f>-'Fane 4.1. Gen. krav - drift'!G63</f>
        <v>-772458.58723675809</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128317775.90885241</v>
      </c>
      <c r="D14" s="11" t="s">
        <v>3</v>
      </c>
      <c r="E14" s="1"/>
    </row>
    <row r="15" spans="1:5" x14ac:dyDescent="0.25">
      <c r="A15" s="1"/>
      <c r="B15" s="32" t="s">
        <v>12</v>
      </c>
      <c r="C15" s="27"/>
      <c r="D15" s="19"/>
      <c r="E15" s="1"/>
    </row>
    <row r="16" spans="1:5" ht="15" customHeight="1" x14ac:dyDescent="0.25">
      <c r="A16" s="1"/>
      <c r="B16" s="30" t="s">
        <v>12</v>
      </c>
      <c r="C16" s="10">
        <f>'Fane 6. Ikke-påvirkelige omk.'!C18*(1+'Fane 15. Nøgletal'!C15)^3+'Fane 6. Ikke-påvirkelige omk.'!C25+'Fane 6. Ikke-påvirkelige omk.'!C33</f>
        <v>14416727.78043684</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-6024166.6666666698</v>
      </c>
      <c r="D22" s="11" t="s">
        <v>3</v>
      </c>
      <c r="E22" s="1"/>
    </row>
    <row r="23" spans="1:5" x14ac:dyDescent="0.25">
      <c r="A23" s="1"/>
      <c r="B23" s="32" t="s">
        <v>190</v>
      </c>
      <c r="C23" s="12">
        <f>SUM(C14,C16,C18,C20,C22)</f>
        <v>136710337.02262259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djsX5M2iKiWZvdORacFRB/KAN25+yuKNjjq2m+ZY6R/o112jAYCfitGYX045L602MiwNqWqWJ+glCY0ewPVYOw==" saltValue="7icf9zKFY9e3j2lxBn4Nt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191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290</v>
      </c>
      <c r="C8" s="27"/>
      <c r="D8" s="27"/>
      <c r="E8" s="27"/>
      <c r="F8" s="19"/>
      <c r="G8" s="1"/>
    </row>
    <row r="9" spans="1:7" ht="15" customHeight="1" x14ac:dyDescent="0.25">
      <c r="A9" s="1"/>
      <c r="B9" s="125" t="s">
        <v>192</v>
      </c>
      <c r="C9" s="126"/>
      <c r="D9" s="127"/>
      <c r="E9" s="7">
        <v>120082721.41107364</v>
      </c>
      <c r="F9" s="8" t="s">
        <v>3</v>
      </c>
      <c r="G9" s="1"/>
    </row>
    <row r="10" spans="1:7" ht="15" customHeight="1" x14ac:dyDescent="0.25">
      <c r="A10" s="1"/>
      <c r="B10" s="129" t="s">
        <v>39</v>
      </c>
      <c r="C10" s="130"/>
      <c r="D10" s="131"/>
      <c r="E10" s="7">
        <v>1017223.7974</v>
      </c>
      <c r="F10" s="8" t="s">
        <v>3</v>
      </c>
      <c r="G10" s="1"/>
    </row>
    <row r="11" spans="1:7" ht="15" customHeight="1" x14ac:dyDescent="0.25">
      <c r="A11" s="1"/>
      <c r="B11" s="129" t="s">
        <v>40</v>
      </c>
      <c r="C11" s="130"/>
      <c r="D11" s="131"/>
      <c r="E11" s="9">
        <v>3966107.1046000002</v>
      </c>
      <c r="F11" s="8" t="s">
        <v>3</v>
      </c>
      <c r="G11" s="1"/>
    </row>
    <row r="12" spans="1:7" ht="15" customHeight="1" x14ac:dyDescent="0.25">
      <c r="A12" s="1"/>
      <c r="B12" s="129" t="s">
        <v>27</v>
      </c>
      <c r="C12" s="130"/>
      <c r="D12" s="131"/>
      <c r="E12" s="9">
        <v>0</v>
      </c>
      <c r="F12" s="8" t="s">
        <v>3</v>
      </c>
      <c r="G12" s="1"/>
    </row>
    <row r="13" spans="1:7" ht="15" customHeight="1" x14ac:dyDescent="0.25">
      <c r="A13" s="1"/>
      <c r="B13" s="125" t="s">
        <v>26</v>
      </c>
      <c r="C13" s="126"/>
      <c r="D13" s="127"/>
      <c r="E13" s="9">
        <v>0</v>
      </c>
      <c r="F13" s="8" t="s">
        <v>3</v>
      </c>
      <c r="G13" s="1"/>
    </row>
    <row r="14" spans="1:7" ht="15" customHeight="1" x14ac:dyDescent="0.25">
      <c r="A14" s="1"/>
      <c r="B14" s="125" t="s">
        <v>29</v>
      </c>
      <c r="C14" s="126"/>
      <c r="D14" s="127"/>
      <c r="E14" s="9">
        <v>0</v>
      </c>
      <c r="F14" s="8" t="s">
        <v>3</v>
      </c>
      <c r="G14" s="1"/>
    </row>
    <row r="15" spans="1:7" ht="15" customHeight="1" x14ac:dyDescent="0.25">
      <c r="A15" s="1"/>
      <c r="B15" s="125" t="s">
        <v>28</v>
      </c>
      <c r="C15" s="126"/>
      <c r="D15" s="127"/>
      <c r="E15" s="9">
        <v>0</v>
      </c>
      <c r="F15" s="8" t="s">
        <v>3</v>
      </c>
      <c r="G15" s="1"/>
    </row>
    <row r="16" spans="1:7" ht="15" customHeight="1" x14ac:dyDescent="0.25">
      <c r="A16" s="1"/>
      <c r="B16" s="125" t="s">
        <v>19</v>
      </c>
      <c r="C16" s="126"/>
      <c r="D16" s="127"/>
      <c r="E16" s="9">
        <f>SUM(E9:E15)*'Fane 15. Nøgletal'!C14</f>
        <v>412717.97263314301</v>
      </c>
      <c r="F16" s="8" t="s">
        <v>3</v>
      </c>
      <c r="G16" s="1"/>
    </row>
    <row r="17" spans="1:7" ht="15" customHeight="1" x14ac:dyDescent="0.25">
      <c r="A17" s="1"/>
      <c r="B17" s="125" t="s">
        <v>10</v>
      </c>
      <c r="C17" s="126"/>
      <c r="D17" s="127"/>
      <c r="E17" s="9">
        <v>-1863161.4087399917</v>
      </c>
      <c r="F17" s="8" t="s">
        <v>3</v>
      </c>
      <c r="G17" s="1"/>
    </row>
    <row r="18" spans="1:7" ht="15" customHeight="1" x14ac:dyDescent="0.25">
      <c r="A18" s="1"/>
      <c r="B18" s="125" t="s">
        <v>24</v>
      </c>
      <c r="C18" s="126"/>
      <c r="D18" s="127"/>
      <c r="E18" s="9">
        <f>-'Fane 4.1. Gen. krav - drift'!G39</f>
        <v>-741383.35196503566</v>
      </c>
      <c r="F18" s="8" t="s">
        <v>3</v>
      </c>
      <c r="G18" s="1"/>
    </row>
    <row r="19" spans="1:7" ht="15" customHeight="1" x14ac:dyDescent="0.25">
      <c r="A19" s="1"/>
      <c r="B19" s="125" t="s">
        <v>25</v>
      </c>
      <c r="C19" s="126"/>
      <c r="D19" s="127"/>
      <c r="E19" s="9">
        <f>-'Fane 4.2. Gen. krav - anlæg'!G37</f>
        <v>-1485975.390563068</v>
      </c>
      <c r="F19" s="8" t="s">
        <v>3</v>
      </c>
      <c r="G19" s="1"/>
    </row>
    <row r="20" spans="1:7" ht="15" customHeight="1" x14ac:dyDescent="0.25">
      <c r="A20" s="1"/>
      <c r="B20" s="54" t="s">
        <v>21</v>
      </c>
      <c r="C20" s="99"/>
      <c r="D20" s="101"/>
      <c r="E20" s="51">
        <f>SUM(E9:E19)</f>
        <v>121388250.13443866</v>
      </c>
      <c r="F20" s="53" t="s">
        <v>3</v>
      </c>
      <c r="G20" s="1"/>
    </row>
    <row r="21" spans="1:7" ht="15" customHeight="1" x14ac:dyDescent="0.25">
      <c r="A21" s="1"/>
      <c r="B21" s="32" t="s">
        <v>12</v>
      </c>
      <c r="C21" s="27"/>
      <c r="D21" s="27"/>
      <c r="E21" s="27"/>
      <c r="F21" s="19"/>
      <c r="G21" s="1"/>
    </row>
    <row r="22" spans="1:7" ht="15" customHeight="1" x14ac:dyDescent="0.25">
      <c r="A22" s="1"/>
      <c r="B22" s="132" t="s">
        <v>12</v>
      </c>
      <c r="C22" s="133"/>
      <c r="D22" s="134"/>
      <c r="E22" s="10">
        <v>7534326.2305081449</v>
      </c>
      <c r="F22" s="11" t="s">
        <v>3</v>
      </c>
      <c r="G22" s="1"/>
    </row>
    <row r="23" spans="1:7" ht="15" customHeight="1" x14ac:dyDescent="0.25">
      <c r="A23" s="1"/>
      <c r="B23" s="135" t="s">
        <v>86</v>
      </c>
      <c r="C23" s="136"/>
      <c r="D23" s="137"/>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9" t="s">
        <v>81</v>
      </c>
      <c r="C26" s="130"/>
      <c r="D26" s="131"/>
      <c r="E26" s="9">
        <v>883947.01092460577</v>
      </c>
      <c r="F26" s="8" t="s">
        <v>3</v>
      </c>
      <c r="G26" s="1"/>
    </row>
    <row r="27" spans="1:7" ht="15" customHeight="1" x14ac:dyDescent="0.25">
      <c r="A27" s="1"/>
      <c r="B27" s="129" t="s">
        <v>82</v>
      </c>
      <c r="C27" s="130"/>
      <c r="D27" s="130"/>
      <c r="E27" s="9">
        <v>0</v>
      </c>
      <c r="F27" s="8" t="s">
        <v>3</v>
      </c>
      <c r="G27" s="1"/>
    </row>
    <row r="28" spans="1:7" ht="15" customHeight="1" x14ac:dyDescent="0.25">
      <c r="A28" s="1"/>
      <c r="B28" s="138" t="s">
        <v>87</v>
      </c>
      <c r="C28" s="139"/>
      <c r="D28" s="139"/>
      <c r="E28" s="39">
        <f>SUM(E26:E27)</f>
        <v>883947.01092460577</v>
      </c>
      <c r="F28" s="11" t="s">
        <v>3</v>
      </c>
      <c r="G28" s="1"/>
    </row>
    <row r="29" spans="1:7" ht="15" customHeight="1" x14ac:dyDescent="0.25">
      <c r="A29" s="1"/>
      <c r="B29" s="32" t="s">
        <v>143</v>
      </c>
      <c r="C29" s="32"/>
      <c r="D29" s="32"/>
      <c r="E29" s="27"/>
      <c r="F29" s="19"/>
      <c r="G29" s="1"/>
    </row>
    <row r="30" spans="1:7" ht="15" customHeight="1" x14ac:dyDescent="0.25">
      <c r="A30" s="1"/>
      <c r="B30" s="132" t="s">
        <v>142</v>
      </c>
      <c r="C30" s="133"/>
      <c r="D30" s="133"/>
      <c r="E30" s="39">
        <v>0</v>
      </c>
      <c r="F30" s="11" t="s">
        <v>3</v>
      </c>
      <c r="G30" s="1"/>
    </row>
    <row r="31" spans="1:7" x14ac:dyDescent="0.25">
      <c r="A31" s="1"/>
      <c r="B31" s="32" t="s">
        <v>123</v>
      </c>
      <c r="C31" s="27"/>
      <c r="D31" s="27"/>
      <c r="E31" s="27"/>
      <c r="F31" s="19"/>
      <c r="G31" s="1"/>
    </row>
    <row r="32" spans="1:7" ht="15.4" customHeight="1" x14ac:dyDescent="0.25">
      <c r="A32" s="1"/>
      <c r="B32" s="132" t="s">
        <v>123</v>
      </c>
      <c r="C32" s="133"/>
      <c r="D32" s="134"/>
      <c r="E32" s="10">
        <v>0</v>
      </c>
      <c r="F32" s="11" t="s">
        <v>3</v>
      </c>
      <c r="G32" s="1"/>
    </row>
    <row r="33" spans="1:7" ht="15.4" customHeight="1" x14ac:dyDescent="0.25">
      <c r="A33" s="1"/>
      <c r="B33" s="135" t="s">
        <v>175</v>
      </c>
      <c r="C33" s="136"/>
      <c r="D33" s="136"/>
      <c r="E33" s="136"/>
      <c r="F33" s="137"/>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129806523.37587142</v>
      </c>
      <c r="F35" s="52" t="s">
        <v>3</v>
      </c>
      <c r="G35" s="1"/>
    </row>
    <row r="36" spans="1:7" ht="27" customHeight="1" x14ac:dyDescent="0.25">
      <c r="A36" s="1"/>
      <c r="B36" s="125" t="s">
        <v>222</v>
      </c>
      <c r="C36" s="126"/>
      <c r="D36" s="126"/>
      <c r="E36" s="126"/>
      <c r="F36" s="12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ipYwGcTcCPM2gSF7POIS+tp9J3zRFi5a8clEWg1X+8B4JW94Q9151U+6eaEY4LeSOVKclrEpM/VMJIJhea/Unw==" saltValue="tiV5WNZrbXXTvlwoJaH5Q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140625" style="2" customWidth="1"/>
    <col min="2" max="5" width="9.140625" style="2"/>
    <col min="6" max="6" width="24.85546875" style="2" customWidth="1"/>
    <col min="7" max="7" width="16.28515625" style="2" customWidth="1"/>
    <col min="8" max="8" width="3.42578125" style="2" customWidth="1"/>
    <col min="9" max="9" width="1.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8" t="s">
        <v>109</v>
      </c>
      <c r="C2" s="128"/>
      <c r="D2" s="128"/>
      <c r="E2" s="128"/>
      <c r="F2" s="128"/>
      <c r="G2" s="128"/>
      <c r="H2" s="128"/>
      <c r="I2" s="1"/>
    </row>
    <row r="3" spans="1:9" ht="28.5" customHeight="1" x14ac:dyDescent="0.25">
      <c r="A3" s="1"/>
      <c r="B3" s="128"/>
      <c r="C3" s="128"/>
      <c r="D3" s="128"/>
      <c r="E3" s="128"/>
      <c r="F3" s="128"/>
      <c r="G3" s="128"/>
      <c r="H3" s="128"/>
      <c r="I3" s="1"/>
    </row>
    <row r="4" spans="1:9" x14ac:dyDescent="0.25">
      <c r="A4" s="1"/>
      <c r="B4" s="135" t="s">
        <v>52</v>
      </c>
      <c r="C4" s="136"/>
      <c r="D4" s="136"/>
      <c r="E4" s="136"/>
      <c r="F4" s="136"/>
      <c r="G4" s="136"/>
      <c r="H4" s="137"/>
      <c r="I4" s="1"/>
    </row>
    <row r="5" spans="1:9" x14ac:dyDescent="0.25">
      <c r="A5" s="1"/>
      <c r="B5" s="140" t="s">
        <v>41</v>
      </c>
      <c r="C5" s="141"/>
      <c r="D5" s="141"/>
      <c r="E5" s="141"/>
      <c r="F5" s="142"/>
      <c r="G5" s="76">
        <v>36189667</v>
      </c>
      <c r="H5" s="14" t="s">
        <v>3</v>
      </c>
      <c r="I5" s="1"/>
    </row>
    <row r="6" spans="1:9" x14ac:dyDescent="0.25">
      <c r="A6" s="1"/>
      <c r="B6" s="125" t="s">
        <v>120</v>
      </c>
      <c r="C6" s="126"/>
      <c r="D6" s="126"/>
      <c r="E6" s="126"/>
      <c r="F6" s="127"/>
      <c r="G6" s="77">
        <v>0</v>
      </c>
      <c r="H6" s="14" t="s">
        <v>3</v>
      </c>
      <c r="I6" s="1"/>
    </row>
    <row r="7" spans="1:9" x14ac:dyDescent="0.25">
      <c r="A7" s="1"/>
      <c r="B7" s="140" t="s">
        <v>42</v>
      </c>
      <c r="C7" s="141"/>
      <c r="D7" s="141"/>
      <c r="E7" s="141"/>
      <c r="F7" s="142"/>
      <c r="G7" s="76">
        <f>SUM(G5:G6)*'Fane 15. Nøgletal'!C31</f>
        <v>723793.34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5" t="s">
        <v>53</v>
      </c>
      <c r="C10" s="136"/>
      <c r="D10" s="136"/>
      <c r="E10" s="136"/>
      <c r="F10" s="136"/>
      <c r="G10" s="143"/>
      <c r="H10" s="137"/>
      <c r="I10" s="1"/>
    </row>
    <row r="11" spans="1:9" x14ac:dyDescent="0.25">
      <c r="A11" s="1"/>
      <c r="B11" s="140" t="s">
        <v>43</v>
      </c>
      <c r="C11" s="141"/>
      <c r="D11" s="141"/>
      <c r="E11" s="141"/>
      <c r="F11" s="142"/>
      <c r="G11" s="76">
        <f>(G5-G7)*(1+'Fane 15. Nøgletal'!C10)</f>
        <v>36086526.449050002</v>
      </c>
      <c r="H11" s="14" t="s">
        <v>3</v>
      </c>
      <c r="I11" s="1"/>
    </row>
    <row r="12" spans="1:9" ht="15" customHeight="1" x14ac:dyDescent="0.25">
      <c r="A12" s="1"/>
      <c r="B12" s="140" t="s">
        <v>121</v>
      </c>
      <c r="C12" s="141"/>
      <c r="D12" s="141"/>
      <c r="E12" s="141"/>
      <c r="F12" s="142"/>
      <c r="G12" s="77">
        <v>-0.30927053183317188</v>
      </c>
      <c r="H12" s="14" t="s">
        <v>3</v>
      </c>
      <c r="I12" s="1"/>
    </row>
    <row r="13" spans="1:9" x14ac:dyDescent="0.25">
      <c r="A13" s="1"/>
      <c r="B13" s="125" t="s">
        <v>118</v>
      </c>
      <c r="C13" s="126"/>
      <c r="D13" s="126"/>
      <c r="E13" s="126"/>
      <c r="F13" s="127"/>
      <c r="G13" s="77">
        <v>0</v>
      </c>
      <c r="H13" s="14" t="s">
        <v>3</v>
      </c>
      <c r="I13" s="1"/>
    </row>
    <row r="14" spans="1:9" x14ac:dyDescent="0.25">
      <c r="A14" s="1"/>
      <c r="B14" s="147" t="s">
        <v>44</v>
      </c>
      <c r="C14" s="148"/>
      <c r="D14" s="148"/>
      <c r="E14" s="148"/>
      <c r="F14" s="149"/>
      <c r="G14" s="77">
        <v>0</v>
      </c>
      <c r="H14" s="14" t="s">
        <v>3</v>
      </c>
      <c r="I14" s="1"/>
    </row>
    <row r="15" spans="1:9" x14ac:dyDescent="0.25">
      <c r="A15" s="1"/>
      <c r="B15" s="140" t="s">
        <v>45</v>
      </c>
      <c r="C15" s="141"/>
      <c r="D15" s="141"/>
      <c r="E15" s="141"/>
      <c r="F15" s="142"/>
      <c r="G15" s="76">
        <f>SUM(G11:G14)*'Fane 15. Nøgletal'!C31</f>
        <v>721730.52279558941</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5" t="s">
        <v>54</v>
      </c>
      <c r="C18" s="136"/>
      <c r="D18" s="136"/>
      <c r="E18" s="136"/>
      <c r="F18" s="136"/>
      <c r="G18" s="143"/>
      <c r="H18" s="137"/>
      <c r="I18" s="1"/>
    </row>
    <row r="19" spans="1:9" x14ac:dyDescent="0.25">
      <c r="A19" s="1"/>
      <c r="B19" s="140" t="s">
        <v>46</v>
      </c>
      <c r="C19" s="141"/>
      <c r="D19" s="141"/>
      <c r="E19" s="141"/>
      <c r="F19" s="142"/>
      <c r="G19" s="76">
        <f>(SUM(G11:G12,G14)-(G15))*(1+'Fane 15. Nøgletal'!C10)</f>
        <v>35983679.540281102</v>
      </c>
      <c r="H19" s="14" t="s">
        <v>3</v>
      </c>
      <c r="I19" s="1"/>
    </row>
    <row r="20" spans="1:9" x14ac:dyDescent="0.25">
      <c r="A20" s="1"/>
      <c r="B20" s="147" t="s">
        <v>47</v>
      </c>
      <c r="C20" s="148"/>
      <c r="D20" s="148"/>
      <c r="E20" s="148"/>
      <c r="F20" s="149"/>
      <c r="G20" s="77">
        <v>0</v>
      </c>
      <c r="H20" s="14" t="s">
        <v>3</v>
      </c>
      <c r="I20" s="1"/>
    </row>
    <row r="21" spans="1:9" x14ac:dyDescent="0.25">
      <c r="A21" s="1"/>
      <c r="B21" s="140" t="s">
        <v>48</v>
      </c>
      <c r="C21" s="141"/>
      <c r="D21" s="141"/>
      <c r="E21" s="141"/>
      <c r="F21" s="142"/>
      <c r="G21" s="76">
        <f>SUM(G19:G20)*'Fane 15. Nøgletal'!C31</f>
        <v>719673.59080562205</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5" t="s">
        <v>55</v>
      </c>
      <c r="C24" s="136"/>
      <c r="D24" s="136"/>
      <c r="E24" s="136"/>
      <c r="F24" s="136"/>
      <c r="G24" s="143"/>
      <c r="H24" s="137"/>
      <c r="I24" s="1"/>
    </row>
    <row r="25" spans="1:9" x14ac:dyDescent="0.25">
      <c r="A25" s="1"/>
      <c r="B25" s="140" t="s">
        <v>49</v>
      </c>
      <c r="C25" s="141"/>
      <c r="D25" s="141"/>
      <c r="E25" s="141"/>
      <c r="F25" s="142"/>
      <c r="G25" s="76">
        <f>(G19+G20-G21)*(1+'Fane 15. Nøgletal'!C12)</f>
        <v>35958706.866680153</v>
      </c>
      <c r="H25" s="14" t="s">
        <v>3</v>
      </c>
      <c r="I25" s="1"/>
    </row>
    <row r="26" spans="1:9" x14ac:dyDescent="0.25">
      <c r="A26" s="1"/>
      <c r="B26" s="147" t="s">
        <v>50</v>
      </c>
      <c r="C26" s="148"/>
      <c r="D26" s="148"/>
      <c r="E26" s="148"/>
      <c r="F26" s="149"/>
      <c r="G26" s="77">
        <v>0</v>
      </c>
      <c r="H26" s="14" t="s">
        <v>3</v>
      </c>
      <c r="I26" s="1"/>
    </row>
    <row r="27" spans="1:9" x14ac:dyDescent="0.25">
      <c r="A27" s="1"/>
      <c r="B27" s="140" t="s">
        <v>51</v>
      </c>
      <c r="C27" s="141"/>
      <c r="D27" s="141"/>
      <c r="E27" s="141"/>
      <c r="F27" s="142"/>
      <c r="G27" s="76">
        <f>(G25+G26)*'Fane 15. Nøgletal'!C31</f>
        <v>719174.13733360311</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5" t="s">
        <v>58</v>
      </c>
      <c r="C30" s="136"/>
      <c r="D30" s="136"/>
      <c r="E30" s="136"/>
      <c r="F30" s="136"/>
      <c r="G30" s="143"/>
      <c r="H30" s="137"/>
      <c r="I30" s="1"/>
    </row>
    <row r="31" spans="1:9" x14ac:dyDescent="0.25">
      <c r="A31" s="1"/>
      <c r="B31" s="140" t="s">
        <v>59</v>
      </c>
      <c r="C31" s="141"/>
      <c r="D31" s="141"/>
      <c r="E31" s="141"/>
      <c r="F31" s="142"/>
      <c r="G31" s="76">
        <f>(G25+G26-G27)*(1+'Fane 15. Nøgletal'!C12)</f>
        <v>35933751.524114683</v>
      </c>
      <c r="H31" s="14" t="s">
        <v>3</v>
      </c>
      <c r="I31" s="1"/>
    </row>
    <row r="32" spans="1:9" x14ac:dyDescent="0.25">
      <c r="A32" s="1"/>
      <c r="B32" s="140" t="s">
        <v>137</v>
      </c>
      <c r="C32" s="141"/>
      <c r="D32" s="141"/>
      <c r="E32" s="141"/>
      <c r="F32" s="142"/>
      <c r="G32" s="76">
        <v>729532.05061967997</v>
      </c>
      <c r="H32" s="14" t="s">
        <v>3</v>
      </c>
      <c r="I32" s="1"/>
    </row>
    <row r="33" spans="1:9" x14ac:dyDescent="0.25">
      <c r="A33" s="1"/>
      <c r="B33" s="140" t="s">
        <v>60</v>
      </c>
      <c r="C33" s="141"/>
      <c r="D33" s="141"/>
      <c r="E33" s="141"/>
      <c r="F33" s="142"/>
      <c r="G33" s="76">
        <f>(G31+G32)*'Fane 15. Nøgletal'!C31</f>
        <v>733265.67149468721</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5" t="s">
        <v>160</v>
      </c>
      <c r="C36" s="136"/>
      <c r="D36" s="136"/>
      <c r="E36" s="136"/>
      <c r="F36" s="136"/>
      <c r="G36" s="143"/>
      <c r="H36" s="137"/>
      <c r="I36" s="1"/>
    </row>
    <row r="37" spans="1:9" x14ac:dyDescent="0.25">
      <c r="A37" s="1"/>
      <c r="B37" s="140" t="s">
        <v>79</v>
      </c>
      <c r="C37" s="141"/>
      <c r="D37" s="141"/>
      <c r="E37" s="141"/>
      <c r="F37" s="142"/>
      <c r="G37" s="76">
        <f>(G31+G32-G33)*(1+'Fane 15. Nøgletal'!C14)</f>
        <v>36048586.962320365</v>
      </c>
      <c r="H37" s="14" t="s">
        <v>3</v>
      </c>
      <c r="I37" s="1"/>
    </row>
    <row r="38" spans="1:9" x14ac:dyDescent="0.25">
      <c r="A38" s="1"/>
      <c r="B38" s="140" t="s">
        <v>164</v>
      </c>
      <c r="C38" s="141"/>
      <c r="D38" s="141"/>
      <c r="E38" s="141"/>
      <c r="F38" s="142"/>
      <c r="G38" s="76">
        <v>1020580.6359314201</v>
      </c>
      <c r="H38" s="14" t="s">
        <v>3</v>
      </c>
      <c r="I38" s="1"/>
    </row>
    <row r="39" spans="1:9" x14ac:dyDescent="0.25">
      <c r="A39" s="1"/>
      <c r="B39" s="140" t="s">
        <v>162</v>
      </c>
      <c r="C39" s="141"/>
      <c r="D39" s="141"/>
      <c r="E39" s="141"/>
      <c r="F39" s="142"/>
      <c r="G39" s="76">
        <f>(G37+G38)*'Fane 15. Nøgletal'!C31</f>
        <v>741383.35196503566</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5" t="s">
        <v>161</v>
      </c>
      <c r="C42" s="136"/>
      <c r="D42" s="136"/>
      <c r="E42" s="136"/>
      <c r="F42" s="136"/>
      <c r="G42" s="143"/>
      <c r="H42" s="137"/>
      <c r="I42" s="1"/>
    </row>
    <row r="43" spans="1:9" x14ac:dyDescent="0.25">
      <c r="A43" s="1"/>
      <c r="B43" s="140" t="s">
        <v>228</v>
      </c>
      <c r="C43" s="141"/>
      <c r="D43" s="141"/>
      <c r="E43" s="141"/>
      <c r="F43" s="142"/>
      <c r="G43" s="76">
        <f>(G37+G38-G39)*(1+'Fane 15. Nøgletal'!C14)</f>
        <v>36447665.934299499</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500327.47278720007</v>
      </c>
      <c r="H44" s="14" t="s">
        <v>3</v>
      </c>
      <c r="I44" s="1"/>
    </row>
    <row r="45" spans="1:9" x14ac:dyDescent="0.25">
      <c r="A45" s="1"/>
      <c r="B45" s="140" t="s">
        <v>163</v>
      </c>
      <c r="C45" s="141"/>
      <c r="D45" s="141"/>
      <c r="E45" s="141"/>
      <c r="F45" s="142"/>
      <c r="G45" s="76">
        <f>SUM(G43:G44)*'Fane 15. Nøgletal'!C31</f>
        <v>738959.86814173404</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5" t="s">
        <v>241</v>
      </c>
      <c r="C51" s="136"/>
      <c r="D51" s="136"/>
      <c r="E51" s="136"/>
      <c r="F51" s="136"/>
      <c r="G51" s="143"/>
      <c r="H51" s="137"/>
      <c r="I51" s="1"/>
    </row>
    <row r="52" spans="1:9" x14ac:dyDescent="0.25">
      <c r="A52" s="1"/>
      <c r="B52" s="140" t="s">
        <v>227</v>
      </c>
      <c r="C52" s="141"/>
      <c r="D52" s="141"/>
      <c r="E52" s="141"/>
      <c r="F52" s="142"/>
      <c r="G52" s="76">
        <f>(G43+G44-G45)*(1+'Fane 15. Nøgletal'!C15)</f>
        <v>37498075.132931411</v>
      </c>
      <c r="H52" s="14" t="s">
        <v>3</v>
      </c>
      <c r="I52" s="1"/>
    </row>
    <row r="53" spans="1:9" x14ac:dyDescent="0.25">
      <c r="A53" s="1"/>
      <c r="B53" s="140" t="s">
        <v>138</v>
      </c>
      <c r="C53" s="141"/>
      <c r="D53" s="141"/>
      <c r="E53" s="141"/>
      <c r="F53" s="142"/>
      <c r="G53" s="76">
        <f>(G52)*'Fane 15. Nøgletal'!C31</f>
        <v>749961.50265862828</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5" t="s">
        <v>150</v>
      </c>
      <c r="C56" s="136"/>
      <c r="D56" s="136"/>
      <c r="E56" s="136"/>
      <c r="F56" s="136"/>
      <c r="G56" s="143"/>
      <c r="H56" s="137"/>
      <c r="I56" s="1"/>
    </row>
    <row r="57" spans="1:9" x14ac:dyDescent="0.25">
      <c r="A57" s="1"/>
      <c r="B57" s="91" t="s">
        <v>151</v>
      </c>
      <c r="C57" s="92"/>
      <c r="D57" s="92"/>
      <c r="E57" s="92"/>
      <c r="F57" s="93"/>
      <c r="G57" s="76">
        <f>(G52-G53)*(1+'Fane 15. Nøgletal'!C15)</f>
        <v>38056346.4755105</v>
      </c>
      <c r="H57" s="14" t="s">
        <v>3</v>
      </c>
      <c r="I57" s="1"/>
    </row>
    <row r="58" spans="1:9" x14ac:dyDescent="0.25">
      <c r="A58" s="1"/>
      <c r="B58" s="91" t="s">
        <v>152</v>
      </c>
      <c r="C58" s="92"/>
      <c r="D58" s="92"/>
      <c r="E58" s="92"/>
      <c r="F58" s="93"/>
      <c r="G58" s="76">
        <f>(G57)*'Fane 15. Nøgletal'!C31</f>
        <v>761126.92951021006</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5" t="s">
        <v>193</v>
      </c>
      <c r="C61" s="136"/>
      <c r="D61" s="136"/>
      <c r="E61" s="136"/>
      <c r="F61" s="136"/>
      <c r="G61" s="143"/>
      <c r="H61" s="137"/>
      <c r="I61" s="1"/>
    </row>
    <row r="62" spans="1:9" x14ac:dyDescent="0.25">
      <c r="A62" s="1"/>
      <c r="B62" s="91" t="s">
        <v>194</v>
      </c>
      <c r="C62" s="92"/>
      <c r="D62" s="92"/>
      <c r="E62" s="92"/>
      <c r="F62" s="93"/>
      <c r="G62" s="76">
        <f>(G57-G58)*(1+'Fane 15. Nøgletal'!C15)</f>
        <v>38622929.361837901</v>
      </c>
      <c r="H62" s="14" t="s">
        <v>3</v>
      </c>
      <c r="I62" s="1"/>
    </row>
    <row r="63" spans="1:9" x14ac:dyDescent="0.25">
      <c r="A63" s="1"/>
      <c r="B63" s="91" t="s">
        <v>195</v>
      </c>
      <c r="C63" s="92"/>
      <c r="D63" s="92"/>
      <c r="E63" s="92"/>
      <c r="F63" s="93"/>
      <c r="G63" s="76">
        <f>(G62)*'Fane 15. Nøgletal'!C31</f>
        <v>772458.58723675809</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bkY6c4KFmig1UBSACAFsfW18TCw6C+T5f14O4iqzUdkrdPFeyMVAi14klCHIaqWoVFVDAPmEoB59hLL6JRJmrQ==" saltValue="rZ5S2GsBrvOKA3QwYtyMfA=="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7109375" style="2" customWidth="1"/>
    <col min="2" max="5" width="9.140625" style="2"/>
    <col min="6" max="6" width="28.42578125" style="2" customWidth="1"/>
    <col min="7" max="7" width="14.140625" style="2" customWidth="1"/>
    <col min="8" max="8" width="3.28515625" style="2" customWidth="1"/>
    <col min="9" max="9" width="1.8554687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5" t="s">
        <v>56</v>
      </c>
      <c r="C4" s="136"/>
      <c r="D4" s="136"/>
      <c r="E4" s="136"/>
      <c r="F4" s="136"/>
      <c r="G4" s="136"/>
      <c r="H4" s="137"/>
      <c r="I4" s="1"/>
    </row>
    <row r="5" spans="1:9" x14ac:dyDescent="0.25">
      <c r="A5" s="1"/>
      <c r="B5" s="140" t="s">
        <v>61</v>
      </c>
      <c r="C5" s="141"/>
      <c r="D5" s="141"/>
      <c r="E5" s="141"/>
      <c r="F5" s="142"/>
      <c r="G5" s="76">
        <v>93088743</v>
      </c>
      <c r="H5" s="14" t="s">
        <v>3</v>
      </c>
      <c r="I5" s="1"/>
    </row>
    <row r="6" spans="1:9" x14ac:dyDescent="0.25">
      <c r="A6" s="1"/>
      <c r="B6" s="140" t="s">
        <v>57</v>
      </c>
      <c r="C6" s="141"/>
      <c r="D6" s="141"/>
      <c r="E6" s="141"/>
      <c r="F6" s="142"/>
      <c r="G6" s="76">
        <f>G5*'Fane 15. Nøgletal'!C20</f>
        <v>847107.56130000006</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5" t="s">
        <v>62</v>
      </c>
      <c r="C9" s="136"/>
      <c r="D9" s="136"/>
      <c r="E9" s="136"/>
      <c r="F9" s="136"/>
      <c r="G9" s="143"/>
      <c r="H9" s="137"/>
      <c r="I9" s="1"/>
    </row>
    <row r="10" spans="1:9" x14ac:dyDescent="0.25">
      <c r="A10" s="1"/>
      <c r="B10" s="140" t="s">
        <v>63</v>
      </c>
      <c r="C10" s="141"/>
      <c r="D10" s="141"/>
      <c r="E10" s="141"/>
      <c r="F10" s="142"/>
      <c r="G10" s="76">
        <f>(G5-G6)*(1+'Fane 15. Nøgletal'!C10)</f>
        <v>93855864.058877259</v>
      </c>
      <c r="H10" s="14" t="s">
        <v>3</v>
      </c>
      <c r="I10" s="1"/>
    </row>
    <row r="11" spans="1:9" x14ac:dyDescent="0.25">
      <c r="A11" s="1"/>
      <c r="B11" s="140" t="s">
        <v>122</v>
      </c>
      <c r="C11" s="141"/>
      <c r="D11" s="141"/>
      <c r="E11" s="141"/>
      <c r="F11" s="142"/>
      <c r="G11" s="76">
        <v>632149.08404445858</v>
      </c>
      <c r="H11" s="14" t="s">
        <v>3</v>
      </c>
      <c r="I11" s="1"/>
    </row>
    <row r="12" spans="1:9" x14ac:dyDescent="0.25">
      <c r="A12" s="1"/>
      <c r="B12" s="147" t="s">
        <v>64</v>
      </c>
      <c r="C12" s="148"/>
      <c r="D12" s="148"/>
      <c r="E12" s="148"/>
      <c r="F12" s="149"/>
      <c r="G12" s="77">
        <v>0</v>
      </c>
      <c r="H12" s="14" t="s">
        <v>3</v>
      </c>
      <c r="I12" s="1"/>
    </row>
    <row r="13" spans="1:9" x14ac:dyDescent="0.25">
      <c r="A13" s="1"/>
      <c r="B13" s="140" t="s">
        <v>65</v>
      </c>
      <c r="C13" s="141"/>
      <c r="D13" s="141"/>
      <c r="E13" s="141"/>
      <c r="F13" s="142"/>
      <c r="G13" s="76">
        <f>SUM(G10:G12)*'Fane 15. Nøgletal'!C21</f>
        <v>1672437.8326297144</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5" t="s">
        <v>66</v>
      </c>
      <c r="C16" s="136"/>
      <c r="D16" s="136"/>
      <c r="E16" s="136"/>
      <c r="F16" s="136"/>
      <c r="G16" s="143"/>
      <c r="H16" s="137"/>
      <c r="I16" s="1"/>
    </row>
    <row r="17" spans="1:9" x14ac:dyDescent="0.25">
      <c r="A17" s="1"/>
      <c r="B17" s="140" t="s">
        <v>67</v>
      </c>
      <c r="C17" s="141"/>
      <c r="D17" s="141"/>
      <c r="E17" s="141"/>
      <c r="F17" s="142"/>
      <c r="G17" s="76">
        <f>(SUM(G10:G12)-G13)*(1+'Fane 15. Nøgletal'!C10)</f>
        <v>94439847.878222123</v>
      </c>
      <c r="H17" s="14" t="s">
        <v>3</v>
      </c>
      <c r="I17" s="1"/>
    </row>
    <row r="18" spans="1:9" x14ac:dyDescent="0.25">
      <c r="A18" s="1"/>
      <c r="B18" s="147" t="s">
        <v>68</v>
      </c>
      <c r="C18" s="148"/>
      <c r="D18" s="148"/>
      <c r="E18" s="148"/>
      <c r="F18" s="149"/>
      <c r="G18" s="76">
        <v>479113.57891080988</v>
      </c>
      <c r="H18" s="14" t="s">
        <v>3</v>
      </c>
      <c r="I18" s="1"/>
    </row>
    <row r="19" spans="1:9" x14ac:dyDescent="0.25">
      <c r="A19" s="1"/>
      <c r="B19" s="140" t="s">
        <v>69</v>
      </c>
      <c r="C19" s="141"/>
      <c r="D19" s="141"/>
      <c r="E19" s="141"/>
      <c r="F19" s="142"/>
      <c r="G19" s="76">
        <f>G17*'Fane 15. Nøgletal'!C21+G18*'Fane 15. Nøgletal'!C22</f>
        <v>1675753.5955810559</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5" t="s">
        <v>70</v>
      </c>
      <c r="C22" s="136"/>
      <c r="D22" s="136"/>
      <c r="E22" s="136"/>
      <c r="F22" s="136"/>
      <c r="G22" s="143"/>
      <c r="H22" s="137"/>
      <c r="I22" s="1"/>
    </row>
    <row r="23" spans="1:9" x14ac:dyDescent="0.25">
      <c r="A23" s="1"/>
      <c r="B23" s="140" t="s">
        <v>71</v>
      </c>
      <c r="C23" s="141"/>
      <c r="D23" s="141"/>
      <c r="E23" s="141"/>
      <c r="F23" s="142"/>
      <c r="G23" s="76">
        <f>(G17+G18-G19)*(1+'Fane 15. Nøgletal'!C12)</f>
        <v>95080099.056424454</v>
      </c>
      <c r="H23" s="14" t="s">
        <v>3</v>
      </c>
      <c r="I23" s="1"/>
    </row>
    <row r="24" spans="1:9" x14ac:dyDescent="0.25">
      <c r="A24" s="1"/>
      <c r="B24" s="147" t="s">
        <v>72</v>
      </c>
      <c r="C24" s="148"/>
      <c r="D24" s="148"/>
      <c r="E24" s="148"/>
      <c r="F24" s="149"/>
      <c r="G24" s="76">
        <v>275658.22053990001</v>
      </c>
      <c r="H24" s="14" t="s">
        <v>3</v>
      </c>
      <c r="I24" s="1"/>
    </row>
    <row r="25" spans="1:9" x14ac:dyDescent="0.25">
      <c r="A25" s="1"/>
      <c r="B25" s="140" t="s">
        <v>73</v>
      </c>
      <c r="C25" s="141"/>
      <c r="D25" s="141"/>
      <c r="E25" s="141"/>
      <c r="F25" s="142"/>
      <c r="G25" s="76">
        <f>(G23+G24)*'Fane 15. Nøgletal'!C23</f>
        <v>2708103.5066657877</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5" t="s">
        <v>74</v>
      </c>
      <c r="C28" s="136"/>
      <c r="D28" s="136"/>
      <c r="E28" s="136"/>
      <c r="F28" s="136"/>
      <c r="G28" s="143"/>
      <c r="H28" s="137"/>
      <c r="I28" s="1"/>
    </row>
    <row r="29" spans="1:9" x14ac:dyDescent="0.25">
      <c r="A29" s="1"/>
      <c r="B29" s="140" t="s">
        <v>75</v>
      </c>
      <c r="C29" s="141"/>
      <c r="D29" s="141"/>
      <c r="E29" s="141"/>
      <c r="F29" s="142"/>
      <c r="G29" s="76">
        <f>(G23+G24-G25)*(1+'Fane 15. Nøgletal'!C12)</f>
        <v>94472812.549573451</v>
      </c>
      <c r="H29" s="14" t="s">
        <v>3</v>
      </c>
      <c r="I29" s="1"/>
    </row>
    <row r="30" spans="1:9" x14ac:dyDescent="0.25">
      <c r="A30" s="1"/>
      <c r="B30" s="140" t="s">
        <v>139</v>
      </c>
      <c r="C30" s="141"/>
      <c r="D30" s="141"/>
      <c r="E30" s="141"/>
      <c r="F30" s="142"/>
      <c r="G30" s="76">
        <v>4439700.0284464797</v>
      </c>
      <c r="H30" s="14" t="s">
        <v>3</v>
      </c>
      <c r="I30" s="1"/>
    </row>
    <row r="31" spans="1:9" x14ac:dyDescent="0.25">
      <c r="A31" s="1"/>
      <c r="B31" s="140" t="s">
        <v>76</v>
      </c>
      <c r="C31" s="141"/>
      <c r="D31" s="141"/>
      <c r="E31" s="141"/>
      <c r="F31" s="142"/>
      <c r="G31" s="76">
        <f>G29*'Fane 15. Nøgletal'!C23+G30*'Fane 15. Nøgletal'!C24</f>
        <v>2805119.6271901648</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5" t="s">
        <v>165</v>
      </c>
      <c r="C34" s="136"/>
      <c r="D34" s="136"/>
      <c r="E34" s="136"/>
      <c r="F34" s="136"/>
      <c r="G34" s="143"/>
      <c r="H34" s="137"/>
      <c r="I34" s="1"/>
    </row>
    <row r="35" spans="1:9" x14ac:dyDescent="0.25">
      <c r="A35" s="1"/>
      <c r="B35" s="140" t="s">
        <v>78</v>
      </c>
      <c r="C35" s="141"/>
      <c r="D35" s="141"/>
      <c r="E35" s="141"/>
      <c r="F35" s="142"/>
      <c r="G35" s="76">
        <f>(G29+G30-G31)*(1+'Fane 15. Nøgletal'!C14)</f>
        <v>96424547.347567514</v>
      </c>
      <c r="H35" s="14" t="s">
        <v>3</v>
      </c>
      <c r="I35" s="1"/>
    </row>
    <row r="36" spans="1:9" x14ac:dyDescent="0.25">
      <c r="A36" s="1"/>
      <c r="B36" s="140" t="s">
        <v>167</v>
      </c>
      <c r="C36" s="141"/>
      <c r="D36" s="141"/>
      <c r="E36" s="141"/>
      <c r="F36" s="142"/>
      <c r="G36" s="76">
        <v>3979195.2580451807</v>
      </c>
      <c r="H36" s="14" t="s">
        <v>3</v>
      </c>
      <c r="I36" s="1"/>
    </row>
    <row r="37" spans="1:9" x14ac:dyDescent="0.25">
      <c r="A37" s="1"/>
      <c r="B37" s="140" t="s">
        <v>166</v>
      </c>
      <c r="C37" s="141"/>
      <c r="D37" s="141"/>
      <c r="E37" s="141"/>
      <c r="F37" s="142"/>
      <c r="G37" s="76">
        <f>(G35+G36)*'Fane 15. Nøgletal'!C25</f>
        <v>1485975.390563068</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5" t="s">
        <v>221</v>
      </c>
      <c r="C40" s="136"/>
      <c r="D40" s="136"/>
      <c r="E40" s="136"/>
      <c r="F40" s="136"/>
      <c r="G40" s="143"/>
      <c r="H40" s="137"/>
      <c r="I40" s="1"/>
    </row>
    <row r="41" spans="1:9" x14ac:dyDescent="0.25">
      <c r="A41" s="1"/>
      <c r="B41" s="140" t="s">
        <v>77</v>
      </c>
      <c r="C41" s="141"/>
      <c r="D41" s="141"/>
      <c r="E41" s="141"/>
      <c r="F41" s="142"/>
      <c r="G41" s="76">
        <f>(G35+G36-G37)*(1+'Fane 15. Nøgletal'!C14)</f>
        <v>99244195.846859291</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4837461.621809761</v>
      </c>
      <c r="H42" s="14" t="s">
        <v>3</v>
      </c>
      <c r="I42" s="1"/>
    </row>
    <row r="43" spans="1:9" x14ac:dyDescent="0.25">
      <c r="A43" s="1"/>
      <c r="B43" s="140" t="s">
        <v>168</v>
      </c>
      <c r="C43" s="141"/>
      <c r="D43" s="141"/>
      <c r="E43" s="141"/>
      <c r="F43" s="142"/>
      <c r="G43" s="76">
        <f>(G41)*'Fane 15. Nøgletal'!C25+G42*'Fane 15. Nøgletal'!C26</f>
        <v>1468814.0985335177</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5" t="s">
        <v>242</v>
      </c>
      <c r="C52" s="136"/>
      <c r="D52" s="136"/>
      <c r="E52" s="136"/>
      <c r="F52" s="136"/>
      <c r="G52" s="143"/>
      <c r="H52" s="137"/>
      <c r="I52" s="1"/>
    </row>
    <row r="53" spans="1:9" x14ac:dyDescent="0.25">
      <c r="A53" s="1"/>
      <c r="B53" s="140" t="s">
        <v>140</v>
      </c>
      <c r="C53" s="141"/>
      <c r="D53" s="141"/>
      <c r="E53" s="141"/>
      <c r="F53" s="142"/>
      <c r="G53" s="76">
        <f>(G41+G42-G43)*(1+'Fane 15. Nøgletal'!C15)</f>
        <v>106265860.59411238</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5" t="s">
        <v>153</v>
      </c>
      <c r="C57" s="136"/>
      <c r="D57" s="136"/>
      <c r="E57" s="136"/>
      <c r="F57" s="136"/>
      <c r="G57" s="143"/>
      <c r="H57" s="137"/>
      <c r="I57" s="1"/>
    </row>
    <row r="58" spans="1:9" x14ac:dyDescent="0.25">
      <c r="A58" s="1"/>
      <c r="B58" s="140" t="s">
        <v>173</v>
      </c>
      <c r="C58" s="141"/>
      <c r="D58" s="141"/>
      <c r="E58" s="141"/>
      <c r="F58" s="142"/>
      <c r="G58" s="76">
        <f>(G53-G54)*(1+'Fane 15. Nøgletal'!C15)</f>
        <v>110048925.23126279</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5" t="s">
        <v>196</v>
      </c>
      <c r="C62" s="136"/>
      <c r="D62" s="136"/>
      <c r="E62" s="136"/>
      <c r="F62" s="136"/>
      <c r="G62" s="143"/>
      <c r="H62" s="137"/>
      <c r="I62" s="1"/>
    </row>
    <row r="63" spans="1:9" x14ac:dyDescent="0.25">
      <c r="A63" s="1"/>
      <c r="B63" s="140" t="s">
        <v>197</v>
      </c>
      <c r="C63" s="141"/>
      <c r="D63" s="141"/>
      <c r="E63" s="141"/>
      <c r="F63" s="142"/>
      <c r="G63" s="76">
        <f>(G58-G59)*(1+'Fane 15. Nøgletal'!C15)</f>
        <v>113966666.96949576</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bZV0xBHrIRZ/OhbRdBxqVeMZrmCqLj/F7LelHHPI9msBkWwNZjarunUwLTkDB5BF4y6BsJ7YQwAbgHUA3LD8Bw==" saltValue="oQYy5ypZbghOV8c4pNHmpw=="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0" t="s">
        <v>154</v>
      </c>
      <c r="C9" s="141"/>
      <c r="D9" s="141"/>
      <c r="E9" s="141"/>
      <c r="F9" s="142"/>
      <c r="G9" s="35">
        <v>1.4848419413879318E-2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q7p3uXwjdBFdH4VYclUq4QRSDOfEsGHmk6kRj1CTMCcWm9UcCtuQSfRct1hwV5inm36LqEH1u74b4oZ3s0x5GQ==" saltValue="5+LOupj+Y4d4gxYGzBnZP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2022-12-06T11:16:05Z</dcterms:modified>
</cp:coreProperties>
</file>