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codeName="Denne_projektmappe" defaultThemeVersion="124226"/>
  <mc:AlternateContent xmlns:mc="http://schemas.openxmlformats.org/markup-compatibility/2006">
    <mc:Choice Requires="x15">
      <x15ac:absPath xmlns:x15ac="http://schemas.microsoft.com/office/spreadsheetml/2010/11/ac" url="E:\VAND\Sagsbehandling\Spildevand\Biofos Spildevandscenter Avedøre AS (S009)\ØR2023\"/>
    </mc:Choice>
  </mc:AlternateContent>
  <xr:revisionPtr revIDLastSave="0" documentId="13_ncr:1_{0BC8DEF7-42A1-41DF-8480-8C23C93D74FB}" xr6:coauthVersionLast="36" xr6:coauthVersionMax="36" xr10:uidLastSave="{00000000-0000-0000-0000-000000000000}"/>
  <bookViews>
    <workbookView xWindow="3120" yWindow="990" windowWidth="12750" windowHeight="4620" tabRatio="872" firstSheet="12" activeTab="19" xr2:uid="{00000000-000D-0000-FFFF-FFFF00000000}"/>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91029"/>
</workbook>
</file>

<file path=xl/calcChain.xml><?xml version="1.0" encoding="utf-8"?>
<calcChain xmlns="http://schemas.openxmlformats.org/spreadsheetml/2006/main">
  <c r="C39" i="2" l="1"/>
  <c r="E28" i="32" l="1"/>
  <c r="C32" i="2" l="1"/>
  <c r="E24" i="32" l="1"/>
  <c r="E32" i="32" s="1"/>
  <c r="E34" i="32" s="1"/>
  <c r="C20" i="23" l="1"/>
  <c r="C20" i="15"/>
  <c r="C20" i="22"/>
  <c r="C15" i="19"/>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6" i="19" l="1"/>
  <c r="C16" i="15" s="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1" i="37" s="1"/>
  <c r="C12" i="37" l="1"/>
  <c r="C10" i="2" s="1"/>
  <c r="G44" i="30" s="1"/>
  <c r="G35" i="36"/>
  <c r="G37" i="36" l="1"/>
  <c r="E19" i="27" s="1"/>
  <c r="G41" i="36" l="1"/>
  <c r="G27" i="30"/>
  <c r="G31" i="30" l="1"/>
  <c r="E10" i="37"/>
  <c r="E11" i="37" s="1"/>
  <c r="G33" i="30" l="1"/>
  <c r="G37" i="30" s="1"/>
  <c r="G39" i="30" s="1"/>
  <c r="E12"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<sst xmlns="http://schemas.openxmlformats.org/spreadsheetml/2006/main" count="609" uniqueCount="291">
  <si>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</si>
  <si>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</si>
  <si>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</si>
  <si>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</si>
  <si>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</si>
  <si>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</si>
  <si>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</si>
  <si>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</si>
  <si>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</si>
  <si>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</si>
  <si>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</si>
  <si>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</si>
  <si>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</si>
  <si>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</si>
  <si>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</si>
  <si>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</si>
  <si>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</si>
  <si>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</si>
  <si>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</si>
  <si>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</si>
  <si>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</si>
  <si>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</si>
  <si>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</si>
  <si>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</si>
  <si>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</si>
  <si>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</si>
  <si>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</si>
  <si>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</si>
  <si>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</si>
  <si>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</si>
  <si>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</si>
  <si>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</si>
  <si>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</si>
  <si>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</si>
  <si>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</si>
  <si>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</si>
  <si>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</si>
  <si>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</si>
  <si>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</si>
  <si>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</si>
  <si>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</si>
  <si>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</si>
  <si>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</si>
  <si>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</si>
  <si>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</si>
  <si>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</si>
  <si>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</si>
  <si>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</si>
  <si>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</si>
  <si>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</si>
  <si>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</si>
  <si>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</si>
  <si>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</si>
  <si>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</si>
  <si>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</si>
  <si>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</si>
  <si>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</si>
  <si>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</si>
  <si>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</si>
  <si>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</si>
  <si>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</si>
  <si>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</si>
  <si>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</si>
  <si>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</si>
  <si>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</si>
  <si>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</si>
  <si>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</si>
  <si>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</si>
  <si>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</si>
  <si>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</si>
  <si>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</si>
  <si>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</si>
  <si>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</si>
  <si>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</si>
  <si>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</si>
  <si>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</si>
  <si>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</si>
  <si>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</si>
  <si>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</si>
  <si>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</si>
  <si>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</si>
  <si>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</si>
  <si>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</si>
  <si>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</si>
  <si>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</si>
  <si>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</si>
  <si>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</si>
  <si>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</si>
  <si>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</si>
  <si>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</si>
  <si>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</si>
  <si>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</si>
  <si>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</si>
  <si>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</si>
  <si>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</si>
  <si>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</si>
  <si>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</si>
  <si>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</si>
  <si>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</si>
  <si>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</si>
  <si>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</si>
  <si>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</si>
  <si>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</si>
  <si>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</si>
  <si>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</si>
  <si>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</si>
  <si>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</si>
  <si>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</si>
  <si>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</si>
  <si>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</si>
  <si>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</si>
  <si>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</si>
  <si>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</si>
  <si>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</si>
  <si>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</si>
  <si>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</si>
  <si>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</si>
  <si>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</si>
  <si>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</si>
  <si>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</si>
  <si>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</si>
  <si>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</si>
  <si>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</si>
  <si>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</si>
  <si>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</si>
  <si>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</si>
  <si>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</si>
  <si>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</si>
  <si>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</si>
  <si>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</si>
  <si>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</si>
  <si>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</si>
  <si>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</si>
  <si>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</si>
  <si>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</si>
  <si>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</si>
  <si>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</si>
  <si>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</si>
  <si>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</si>
  <si>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</si>
  <si>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</si>
  <si>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</si>
  <si>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</si>
  <si>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</si>
  <si>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</si>
  <si>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</si>
  <si>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</si>
  <si>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</si>
  <si>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</si>
  <si>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</si>
  <si>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</si>
  <si>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</si>
  <si>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</si>
  <si>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</si>
  <si>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</si>
  <si>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</si>
  <si>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</si>
  <si>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</si>
  <si>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</si>
  <si>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</si>
  <si>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</si>
  <si>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</si>
  <si>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</si>
  <si>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</si>
  <si>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</si>
  <si>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</si>
  <si>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</si>
  <si>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</si>
  <si>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</si>
  <si>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</si>
  <si>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</si>
  <si>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</si>
  <si>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</si>
  <si>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</si>
  <si>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</si>
  <si>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</si>
  <si>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</si>
  <si>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</si>
  <si>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</si>
  <si>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</si>
  <si>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 xml:space="preserve">Note: Opgørelsen af over/underækningen er taget fra jeres tidligere fremsendte økonomiske rammer og statusmeddelelser. I kan derfor ikke komme med høringssvar til denne opgørelse. </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</si>
  <si>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</si>
  <si>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</si>
  <si>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</si>
  <si>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</si>
  <si>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</si>
  <si>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</si>
  <si>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</si>
  <si>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</si>
  <si>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</si>
  <si>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</si>
  <si>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</si>
  <si>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</si>
  <si>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</si>
  <si>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</si>
  <si>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</si>
  <si>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</si>
  <si>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</si>
  <si>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</si>
  <si>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</si>
  <si>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</si>
  <si>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</si>
  <si>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</si>
  <si>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</si>
  <si>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</si>
  <si>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</si>
  <si>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</si>
  <si>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</si>
  <si>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</si>
  <si>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</si>
  <si>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</si>
  <si>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</si>
  <si>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</si>
  <si>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</si>
  <si>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</si>
  <si>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</si>
  <si>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</si>
  <si>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</si>
  <si>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</si>
  <si>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Oversigt over den økonomiske ramme for 2021</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</si>
  <si>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</si>
  <si>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</si>
  <si>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</si>
  <si>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</si>
  <si>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</si>
  <si>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</si>
  <si>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</si>
  <si>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</si>
  <si>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</si>
  <si>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</si>
  <si>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</si>
  <si>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</si>
  <si>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</si>
  <si>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</si>
  <si>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</si>
  <si>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</si>
  <si>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</si>
  <si>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</si>
  <si>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</si>
  <si>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</si>
  <si>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</si>
  <si>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</si>
  <si>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</si>
  <si>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</si>
  <si>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</si>
  <si>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</si>
  <si>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</si>
  <si>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</si>
  <si>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</si>
  <si>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</si>
  <si>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</si>
  <si>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</si>
  <si>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</si>
  <si>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</si>
  <si>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</si>
  <si>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</si>
  <si>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</si>
  <si>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</si>
  <si>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</si>
  <si>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</si>
  <si>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</si>
  <si>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</si>
  <si>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</si>
  <si>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</si>
  <si>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</si>
  <si>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</si>
  <si>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 modregninger af over/underdækninger fra tideligere år.</t>
  </si>
  <si>
    <t>Til indregning i de økonomiske rammer for 2024-2027</t>
  </si>
  <si>
    <t>Spildevandsafgift</t>
  </si>
  <si>
    <t>Afgift til Forsyningssekretariatet</t>
  </si>
  <si>
    <t>Køb af ydelser og produkter fra andre vandselskaber reguleret af vandsektorloven</t>
  </si>
  <si>
    <t>Ejendomsskatter</t>
  </si>
  <si>
    <t>Tjenestemandspensioner</t>
  </si>
  <si>
    <t>Resultat af kontrol med overholdelse af den økonomiske ramme for 2021</t>
  </si>
  <si>
    <t>Ingen tilknyttet virksomhed under hovedvirksomheden</t>
  </si>
  <si>
    <t>Ingen anlægsprojekter</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</si>
  <si>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</si>
  <si>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</si>
  <si>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</si>
  <si>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</si>
  <si>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</si>
  <si>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</si>
  <si>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</si>
  <si>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</si>
  <si>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Indregnet fradrag i økonomisk ramme for 2022</t>
  </si>
  <si>
    <t>Indregnet fradrag i økonomisk ramme for 2023</t>
  </si>
  <si>
    <t>Korrektion af fradrag i den økonomiske ramme for 2023</t>
  </si>
  <si>
    <t>Tillæg/fradrag i den økonnomiske ramme for 2023</t>
  </si>
  <si>
    <t xml:space="preserve">Ingen engangstillæg </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</si>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</sst>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3" fontId="0" fillId="2" borderId="0" xfId="0" applyNumberFormat="1" applyFill="1" applyProtection="1"/>
    <xf numFmtId="0" fontId="0" fillId="0" borderId="0" xfId="0" applyFill="1" applyProtection="1"/>
    <xf numFmtId="0" fontId="0" fillId="0" borderId="0" xfId="0" applyFill="1" applyBorder="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7" fillId="3" borderId="1"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165" fontId="7" fillId="3" borderId="6" xfId="0" applyNumberFormat="1"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1" xfId="0" applyFont="1" applyFill="1" applyBorder="1" applyAlignment="1" applyProtection="1">
      <alignment horizontal="center" vertical="top" wrapText="1"/>
    </xf>
    <xf numFmtId="0" fontId="7" fillId="3" borderId="1" xfId="0" applyFont="1" applyFill="1" applyBorder="1" applyAlignment="1" applyProtection="1">
      <alignment horizontal="left"/>
    </xf>
    <xf numFmtId="0" fontId="8" fillId="8" borderId="4" xfId="0" applyFont="1" applyFill="1" applyBorder="1" applyAlignment="1" applyProtection="1">
      <alignment horizontal="left"/>
    </xf>
    <xf numFmtId="0" fontId="8" fillId="8" borderId="0"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49" fontId="8" fillId="8" borderId="2" xfId="0" applyNumberFormat="1" applyFont="1" applyFill="1" applyBorder="1" applyAlignment="1" applyProtection="1">
      <alignmen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0"/>
  <sheetViews>
    <sheetView showGridLines="0"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7" width="9.140625" style="2"/>
    <col min="8" max="8" width="8.5703125" style="2" customWidth="1"/>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9" t="s">
        <v>4</v>
      </c>
      <c r="E6" s="99"/>
      <c r="F6" s="99"/>
      <c r="G6" s="99"/>
      <c r="H6" s="3"/>
      <c r="I6" s="1"/>
    </row>
    <row r="7" spans="1:9" ht="15" customHeight="1" x14ac:dyDescent="0.25">
      <c r="A7" s="1"/>
      <c r="B7" s="1"/>
      <c r="C7" s="3"/>
      <c r="D7" s="99"/>
      <c r="E7" s="99"/>
      <c r="F7" s="99"/>
      <c r="G7" s="99"/>
      <c r="H7" s="3"/>
      <c r="I7" s="1"/>
    </row>
    <row r="8" spans="1:9" ht="15.75" x14ac:dyDescent="0.25">
      <c r="A8" s="1"/>
      <c r="B8" s="1"/>
      <c r="C8" s="4"/>
      <c r="D8" s="107" t="s">
        <v>227</v>
      </c>
      <c r="E8" s="107"/>
      <c r="F8" s="107"/>
      <c r="G8" s="107"/>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6" t="s">
        <v>5</v>
      </c>
      <c r="E11" s="106"/>
      <c r="F11" s="106"/>
      <c r="G11" s="106"/>
      <c r="H11" s="5"/>
      <c r="I11" s="1"/>
    </row>
    <row r="12" spans="1:9" x14ac:dyDescent="0.25">
      <c r="A12" s="1"/>
      <c r="B12" s="1"/>
      <c r="C12" s="1"/>
      <c r="D12" s="1"/>
      <c r="E12" s="1"/>
      <c r="F12" s="1"/>
      <c r="G12" s="1"/>
      <c r="H12" s="5"/>
      <c r="I12" s="1"/>
    </row>
    <row r="13" spans="1:9" x14ac:dyDescent="0.25">
      <c r="A13" s="1"/>
      <c r="B13" s="1"/>
      <c r="C13" s="6" t="s">
        <v>6</v>
      </c>
      <c r="D13" s="111" t="s">
        <v>169</v>
      </c>
      <c r="E13" s="112"/>
      <c r="F13" s="112"/>
      <c r="G13" s="113"/>
      <c r="H13" s="5"/>
      <c r="I13" s="1"/>
    </row>
    <row r="14" spans="1:9" x14ac:dyDescent="0.25">
      <c r="A14" s="1"/>
      <c r="B14" s="1"/>
      <c r="C14" s="6" t="s">
        <v>16</v>
      </c>
      <c r="D14" s="96" t="s">
        <v>237</v>
      </c>
      <c r="E14" s="97"/>
      <c r="F14" s="97"/>
      <c r="G14" s="98"/>
      <c r="H14" s="5"/>
      <c r="I14" s="1"/>
    </row>
    <row r="15" spans="1:9" x14ac:dyDescent="0.25">
      <c r="A15" s="1"/>
      <c r="B15" s="1"/>
      <c r="C15" s="6" t="s">
        <v>34</v>
      </c>
      <c r="D15" s="96" t="s">
        <v>170</v>
      </c>
      <c r="E15" s="97"/>
      <c r="F15" s="97"/>
      <c r="G15" s="98"/>
      <c r="H15" s="5"/>
      <c r="I15" s="1"/>
    </row>
    <row r="16" spans="1:9" x14ac:dyDescent="0.25">
      <c r="A16" s="1"/>
      <c r="B16" s="1"/>
      <c r="C16" s="6" t="s">
        <v>35</v>
      </c>
      <c r="D16" s="96" t="s">
        <v>183</v>
      </c>
      <c r="E16" s="97"/>
      <c r="F16" s="97"/>
      <c r="G16" s="98"/>
      <c r="H16" s="5"/>
      <c r="I16" s="1"/>
    </row>
    <row r="17" spans="1:9" x14ac:dyDescent="0.25">
      <c r="A17" s="1"/>
      <c r="B17" s="1"/>
      <c r="C17" s="6" t="s">
        <v>119</v>
      </c>
      <c r="D17" s="96" t="s">
        <v>184</v>
      </c>
      <c r="E17" s="97"/>
      <c r="F17" s="97"/>
      <c r="G17" s="98"/>
      <c r="H17" s="5"/>
      <c r="I17" s="1"/>
    </row>
    <row r="18" spans="1:9" x14ac:dyDescent="0.25">
      <c r="A18" s="1"/>
      <c r="B18" s="1"/>
      <c r="C18" s="6" t="s">
        <v>106</v>
      </c>
      <c r="D18" s="108" t="s">
        <v>95</v>
      </c>
      <c r="E18" s="109"/>
      <c r="F18" s="109"/>
      <c r="G18" s="110"/>
      <c r="H18" s="5"/>
      <c r="I18" s="1"/>
    </row>
    <row r="19" spans="1:9" x14ac:dyDescent="0.25">
      <c r="A19" s="1"/>
      <c r="B19" s="1"/>
      <c r="C19" s="6" t="s">
        <v>107</v>
      </c>
      <c r="D19" s="108" t="s">
        <v>96</v>
      </c>
      <c r="E19" s="109"/>
      <c r="F19" s="109"/>
      <c r="G19" s="110"/>
      <c r="H19" s="5"/>
      <c r="I19" s="1"/>
    </row>
    <row r="20" spans="1:9" x14ac:dyDescent="0.25">
      <c r="A20" s="1"/>
      <c r="B20" s="1"/>
      <c r="C20" s="6" t="s">
        <v>7</v>
      </c>
      <c r="D20" s="108" t="s">
        <v>10</v>
      </c>
      <c r="E20" s="109"/>
      <c r="F20" s="109"/>
      <c r="G20" s="110"/>
      <c r="H20" s="5"/>
      <c r="I20" s="1"/>
    </row>
    <row r="21" spans="1:9" x14ac:dyDescent="0.25">
      <c r="A21" s="1"/>
      <c r="B21" s="1"/>
      <c r="C21" s="6" t="s">
        <v>108</v>
      </c>
      <c r="D21" s="100" t="s">
        <v>12</v>
      </c>
      <c r="E21" s="101"/>
      <c r="F21" s="101"/>
      <c r="G21" s="102"/>
      <c r="H21" s="5"/>
      <c r="I21" s="1"/>
    </row>
    <row r="22" spans="1:9" x14ac:dyDescent="0.25">
      <c r="A22" s="1"/>
      <c r="B22" s="1"/>
      <c r="C22" s="6" t="s">
        <v>83</v>
      </c>
      <c r="D22" s="103" t="s">
        <v>185</v>
      </c>
      <c r="E22" s="104"/>
      <c r="F22" s="104"/>
      <c r="G22" s="105"/>
      <c r="H22" s="5"/>
      <c r="I22" s="1"/>
    </row>
    <row r="23" spans="1:9" x14ac:dyDescent="0.25">
      <c r="A23" s="1"/>
      <c r="B23" s="1"/>
      <c r="C23" s="6" t="s">
        <v>8</v>
      </c>
      <c r="D23" s="103" t="s">
        <v>255</v>
      </c>
      <c r="E23" s="104"/>
      <c r="F23" s="104"/>
      <c r="G23" s="105"/>
      <c r="H23" s="5"/>
      <c r="I23" s="1"/>
    </row>
    <row r="24" spans="1:9" x14ac:dyDescent="0.25">
      <c r="A24" s="1"/>
      <c r="B24" s="1"/>
      <c r="C24" s="6" t="s">
        <v>9</v>
      </c>
      <c r="D24" s="103" t="s">
        <v>186</v>
      </c>
      <c r="E24" s="104"/>
      <c r="F24" s="104"/>
      <c r="G24" s="105"/>
      <c r="H24" s="5"/>
      <c r="I24" s="1"/>
    </row>
    <row r="25" spans="1:9" x14ac:dyDescent="0.25">
      <c r="A25" s="1"/>
      <c r="B25" s="1"/>
      <c r="C25" s="6" t="s">
        <v>248</v>
      </c>
      <c r="D25" s="103" t="s">
        <v>239</v>
      </c>
      <c r="E25" s="104"/>
      <c r="F25" s="104"/>
      <c r="G25" s="105"/>
      <c r="H25" s="1"/>
      <c r="I25" s="1"/>
    </row>
    <row r="26" spans="1:9" x14ac:dyDescent="0.25">
      <c r="A26" s="1"/>
      <c r="B26" s="1"/>
      <c r="C26" s="6" t="s">
        <v>249</v>
      </c>
      <c r="D26" s="103" t="s">
        <v>84</v>
      </c>
      <c r="E26" s="104"/>
      <c r="F26" s="104"/>
      <c r="G26" s="105"/>
      <c r="H26" s="1"/>
      <c r="I26" s="1"/>
    </row>
    <row r="27" spans="1:9" x14ac:dyDescent="0.25">
      <c r="A27" s="1"/>
      <c r="B27" s="1"/>
      <c r="C27" s="6" t="s">
        <v>250</v>
      </c>
      <c r="D27" s="103" t="s">
        <v>85</v>
      </c>
      <c r="E27" s="104"/>
      <c r="F27" s="104"/>
      <c r="G27" s="105"/>
      <c r="H27" s="1"/>
      <c r="I27" s="1"/>
    </row>
    <row r="28" spans="1:9" x14ac:dyDescent="0.25">
      <c r="A28" s="1"/>
      <c r="B28" s="1"/>
      <c r="C28" s="6" t="s">
        <v>15</v>
      </c>
      <c r="D28" s="103" t="s">
        <v>86</v>
      </c>
      <c r="E28" s="104"/>
      <c r="F28" s="104"/>
      <c r="G28" s="105"/>
      <c r="H28" s="1"/>
      <c r="I28" s="1"/>
    </row>
    <row r="29" spans="1:9" x14ac:dyDescent="0.25">
      <c r="A29" s="1"/>
      <c r="B29" s="1"/>
      <c r="C29" s="6" t="s">
        <v>37</v>
      </c>
      <c r="D29" s="103" t="s">
        <v>134</v>
      </c>
      <c r="E29" s="104"/>
      <c r="F29" s="104"/>
      <c r="G29" s="105"/>
      <c r="H29" s="1"/>
      <c r="I29" s="1"/>
    </row>
    <row r="30" spans="1:9" x14ac:dyDescent="0.25">
      <c r="A30" s="1"/>
      <c r="B30" s="1"/>
      <c r="C30" s="6" t="s">
        <v>38</v>
      </c>
      <c r="D30" s="103" t="s">
        <v>36</v>
      </c>
      <c r="E30" s="104"/>
      <c r="F30" s="104"/>
      <c r="G30" s="105"/>
      <c r="H30" s="1"/>
      <c r="I30" s="1"/>
    </row>
    <row r="31" spans="1:9" x14ac:dyDescent="0.25">
      <c r="A31" s="1"/>
      <c r="B31" s="1"/>
      <c r="C31" s="6" t="s">
        <v>251</v>
      </c>
      <c r="D31" s="114" t="s">
        <v>105</v>
      </c>
      <c r="E31" s="115"/>
      <c r="F31" s="115"/>
      <c r="G31" s="116"/>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V0CdM95ZnXL60eWS3Sr7w4wxVOyUC3ZAtbIkRL+iCZ5nkQSHVpXJrJbkBPcAa29A/diyvtsgMwn93816b9GO0w==" saltValue="Uca+eLBNB8nkTMIrFYJZxw=="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4'!A1" display="Samlet økonomisk ramme for 2024"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3'!A1" display="Samlet økonomisk ramme for 2023" xr:uid="{00000000-0004-0000-0000-000004000000}"/>
    <hyperlink ref="D16:G16" location="'Fane 2.4. Økonomisk ramme 2026'!A1" display="Vejledende økonomisk ramme for 2026" xr:uid="{00000000-0004-0000-0000-000005000000}"/>
    <hyperlink ref="D15:G15" location="'Fane 2.3. Økonomisk ramme 2025'!A1" display="Vejledende økonomisk ramme for 2025" xr:uid="{00000000-0004-0000-0000-000006000000}"/>
    <hyperlink ref="D22:G22" location="'Fane 7. Kontrol af ØR2021'!A1" display="Kontrol af den økonomiske ramme for 2021"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2'!A1" display="Omkostninger i ØR2022"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1'!A1" display="Korrektion af den økonomiske ramme for 2021"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2"/>
  <sheetViews>
    <sheetView showGridLines="0" view="pageLayout" zoomScaleNormal="100" workbookViewId="0">
      <selection activeCell="B12" sqref="B12"/>
    </sheetView>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7" t="s">
        <v>111</v>
      </c>
      <c r="C3" s="117"/>
      <c r="D3" s="117"/>
      <c r="E3" s="1"/>
      <c r="F3" s="1"/>
    </row>
    <row r="4" spans="1:6" ht="15" customHeight="1" x14ac:dyDescent="0.25">
      <c r="A4" s="1"/>
      <c r="B4" s="117"/>
      <c r="C4" s="117"/>
      <c r="D4" s="11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5" t="s">
        <v>200</v>
      </c>
      <c r="C8" s="126"/>
      <c r="D8" s="127"/>
      <c r="E8" s="1"/>
      <c r="F8" s="1"/>
    </row>
    <row r="9" spans="1:6" ht="15" customHeight="1" x14ac:dyDescent="0.25">
      <c r="A9" s="1"/>
      <c r="B9" s="26" t="s">
        <v>32</v>
      </c>
      <c r="C9" s="51" t="s">
        <v>242</v>
      </c>
      <c r="D9" s="11"/>
      <c r="E9" s="1"/>
      <c r="F9" s="1"/>
    </row>
    <row r="10" spans="1:6" x14ac:dyDescent="0.25">
      <c r="A10" s="1"/>
      <c r="B10" s="87" t="s">
        <v>268</v>
      </c>
      <c r="C10" s="9">
        <v>7441549.8300000001</v>
      </c>
      <c r="D10" s="14" t="s">
        <v>3</v>
      </c>
      <c r="E10" s="1"/>
      <c r="F10" s="1"/>
    </row>
    <row r="11" spans="1:6" x14ac:dyDescent="0.25">
      <c r="A11" s="1"/>
      <c r="B11" s="87" t="s">
        <v>269</v>
      </c>
      <c r="C11" s="9">
        <v>427493</v>
      </c>
      <c r="D11" s="14" t="s">
        <v>3</v>
      </c>
      <c r="E11" s="1"/>
      <c r="F11" s="1"/>
    </row>
    <row r="12" spans="1:6" ht="26.25" x14ac:dyDescent="0.25">
      <c r="A12" s="1"/>
      <c r="B12" s="28" t="s">
        <v>270</v>
      </c>
      <c r="C12" s="9">
        <v>158612.47</v>
      </c>
      <c r="D12" s="14" t="s">
        <v>3</v>
      </c>
      <c r="E12" s="1"/>
      <c r="F12" s="1"/>
    </row>
    <row r="13" spans="1:6" x14ac:dyDescent="0.25">
      <c r="A13" s="1"/>
      <c r="B13" s="87" t="s">
        <v>271</v>
      </c>
      <c r="C13" s="9">
        <v>1204197.54</v>
      </c>
      <c r="D13" s="14" t="s">
        <v>3</v>
      </c>
      <c r="E13" s="1"/>
      <c r="F13" s="1"/>
    </row>
    <row r="14" spans="1:6" x14ac:dyDescent="0.25">
      <c r="A14" s="1"/>
      <c r="B14" s="87" t="s">
        <v>272</v>
      </c>
      <c r="C14" s="9">
        <v>173879.16</v>
      </c>
      <c r="D14" s="14" t="s">
        <v>3</v>
      </c>
      <c r="E14" s="1"/>
      <c r="F14" s="1"/>
    </row>
    <row r="15" spans="1:6" x14ac:dyDescent="0.25">
      <c r="A15" s="1"/>
      <c r="B15" s="32" t="s">
        <v>201</v>
      </c>
      <c r="C15" s="12">
        <f>SUM(C10:C14)</f>
        <v>9405732</v>
      </c>
      <c r="D15" s="13" t="s">
        <v>3</v>
      </c>
      <c r="E15" s="1"/>
      <c r="F15" s="1"/>
    </row>
    <row r="16" spans="1:6" x14ac:dyDescent="0.25">
      <c r="A16" s="1"/>
      <c r="B16" s="32" t="s">
        <v>202</v>
      </c>
      <c r="C16" s="12">
        <f>C15*(1+'Fane 15. Nøgletal'!C15)^2</f>
        <v>10087340.566907521</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25" t="s">
        <v>117</v>
      </c>
      <c r="C19" s="126"/>
      <c r="D19" s="127"/>
      <c r="E19" s="1"/>
      <c r="F19" s="1"/>
    </row>
    <row r="20" spans="1:6" x14ac:dyDescent="0.25">
      <c r="A20" s="1"/>
      <c r="B20" s="87" t="s">
        <v>99</v>
      </c>
      <c r="C20" s="9">
        <v>0</v>
      </c>
      <c r="D20" s="14" t="s">
        <v>3</v>
      </c>
      <c r="E20" s="1"/>
      <c r="F20" s="1"/>
    </row>
    <row r="21" spans="1:6" x14ac:dyDescent="0.25">
      <c r="A21" s="1"/>
      <c r="B21" s="87" t="s">
        <v>129</v>
      </c>
      <c r="C21" s="9">
        <v>0</v>
      </c>
      <c r="D21" s="14" t="s">
        <v>3</v>
      </c>
      <c r="E21" s="1"/>
      <c r="F21" s="1"/>
    </row>
    <row r="22" spans="1:6" x14ac:dyDescent="0.25">
      <c r="A22" s="1"/>
      <c r="B22" s="87" t="s">
        <v>155</v>
      </c>
      <c r="C22" s="9">
        <v>0</v>
      </c>
      <c r="D22" s="14" t="s">
        <v>3</v>
      </c>
      <c r="E22" s="1"/>
      <c r="F22" s="1"/>
    </row>
    <row r="23" spans="1:6" x14ac:dyDescent="0.25">
      <c r="A23" s="1"/>
      <c r="B23" s="33" t="s">
        <v>203</v>
      </c>
      <c r="C23" s="9">
        <v>0</v>
      </c>
      <c r="D23" s="40" t="s">
        <v>3</v>
      </c>
      <c r="E23" s="1"/>
      <c r="F23" s="1"/>
    </row>
    <row r="24" spans="1:6" x14ac:dyDescent="0.25">
      <c r="A24" s="1"/>
      <c r="B24" s="125"/>
      <c r="C24" s="126"/>
      <c r="D24" s="127"/>
      <c r="E24" s="1"/>
      <c r="F24" s="1"/>
    </row>
    <row r="25" spans="1:6" x14ac:dyDescent="0.25">
      <c r="A25" s="1"/>
      <c r="B25" s="1"/>
      <c r="C25" s="1"/>
      <c r="D25" s="1"/>
      <c r="E25" s="1"/>
      <c r="F25" s="1"/>
    </row>
    <row r="26" spans="1:6" x14ac:dyDescent="0.25">
      <c r="A26" s="1"/>
      <c r="B26" s="1"/>
      <c r="C26" s="1"/>
      <c r="D26" s="1"/>
      <c r="E26" s="1"/>
      <c r="F26" s="1"/>
    </row>
    <row r="27" spans="1:6" x14ac:dyDescent="0.25">
      <c r="A27" s="1"/>
      <c r="B27" s="125" t="s">
        <v>98</v>
      </c>
      <c r="C27" s="126"/>
      <c r="D27" s="127"/>
      <c r="E27" s="1"/>
      <c r="F27" s="1"/>
    </row>
    <row r="28" spans="1:6" x14ac:dyDescent="0.25">
      <c r="A28" s="1"/>
      <c r="B28" s="87" t="s">
        <v>99</v>
      </c>
      <c r="C28" s="9">
        <v>0</v>
      </c>
      <c r="D28" s="14" t="s">
        <v>3</v>
      </c>
      <c r="E28" s="1"/>
      <c r="F28" s="1"/>
    </row>
    <row r="29" spans="1:6" x14ac:dyDescent="0.25">
      <c r="A29" s="1"/>
      <c r="B29" s="87" t="s">
        <v>129</v>
      </c>
      <c r="C29" s="9">
        <v>0</v>
      </c>
      <c r="D29" s="14" t="s">
        <v>3</v>
      </c>
      <c r="E29" s="1"/>
      <c r="F29" s="1"/>
    </row>
    <row r="30" spans="1:6" x14ac:dyDescent="0.25">
      <c r="A30" s="1"/>
      <c r="B30" s="87" t="s">
        <v>155</v>
      </c>
      <c r="C30" s="9">
        <v>0</v>
      </c>
      <c r="D30" s="14" t="s">
        <v>3</v>
      </c>
      <c r="E30" s="1"/>
      <c r="F30" s="1"/>
    </row>
    <row r="31" spans="1:6" x14ac:dyDescent="0.25">
      <c r="A31" s="1"/>
      <c r="B31" s="33" t="s">
        <v>203</v>
      </c>
      <c r="C31" s="9">
        <v>0</v>
      </c>
      <c r="D31" s="40" t="s">
        <v>3</v>
      </c>
      <c r="E31" s="1"/>
      <c r="F31" s="1"/>
    </row>
    <row r="32" spans="1:6" x14ac:dyDescent="0.25">
      <c r="A32" s="1"/>
      <c r="B32" s="125"/>
      <c r="C32" s="126"/>
      <c r="D32" s="127"/>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48"/>
      <c r="B49" s="48"/>
      <c r="C49" s="48"/>
      <c r="D49" s="48"/>
      <c r="E49" s="48"/>
      <c r="F49" s="48"/>
    </row>
    <row r="50" spans="1:6" x14ac:dyDescent="0.25">
      <c r="A50" s="48"/>
      <c r="B50" s="48"/>
      <c r="C50" s="48"/>
      <c r="D50" s="48"/>
      <c r="E50" s="48"/>
      <c r="F50" s="48"/>
    </row>
    <row r="51" spans="1:6" x14ac:dyDescent="0.25">
      <c r="A51" s="48"/>
      <c r="B51" s="48"/>
      <c r="C51" s="48"/>
      <c r="D51" s="48"/>
      <c r="E51" s="48"/>
      <c r="F51" s="48"/>
    </row>
    <row r="52" spans="1:6" x14ac:dyDescent="0.25">
      <c r="A52" s="48"/>
      <c r="B52" s="48"/>
      <c r="C52" s="48"/>
      <c r="D52" s="48"/>
      <c r="E52" s="48"/>
      <c r="F52" s="48"/>
    </row>
  </sheetData>
  <sheetProtection algorithmName="SHA-512" hashValue="lzJsBxrYelNKfLNu8I6XB+1QuhGAtTWrdIspCLktTrWgfoabmQzYaRDtq4q7WdSMCOGvPQzd2WdiqEORBDbdnA==" saltValue="40DA5z9sersR/lf5iQp/vw==" spinCount="100000" sheet="1" objects="1" scenarios="1"/>
  <mergeCells count="6">
    <mergeCell ref="B32:D32"/>
    <mergeCell ref="B3:D4"/>
    <mergeCell ref="B8:D8"/>
    <mergeCell ref="B19:D19"/>
    <mergeCell ref="B27:D27"/>
    <mergeCell ref="B24:D24"/>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2"/>
  <dimension ref="A1:G43"/>
  <sheetViews>
    <sheetView showGridLines="0" view="pageLayout" zoomScaleNormal="100" workbookViewId="0">
      <selection activeCell="E24" sqref="E24"/>
    </sheetView>
  </sheetViews>
  <sheetFormatPr defaultColWidth="9.140625" defaultRowHeight="15" x14ac:dyDescent="0.25"/>
  <cols>
    <col min="1" max="1" width="3.5703125" style="2" customWidth="1"/>
    <col min="2" max="3" width="9.140625" style="2"/>
    <col min="4" max="4" width="43.7109375" style="2" customWidth="1"/>
    <col min="5" max="5" width="13.5703125" style="2"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3" t="s">
        <v>204</v>
      </c>
      <c r="C3" s="133"/>
      <c r="D3" s="133"/>
      <c r="E3" s="133"/>
      <c r="F3" s="133"/>
      <c r="G3" s="1"/>
    </row>
    <row r="4" spans="1:7" ht="15" customHeight="1" x14ac:dyDescent="0.25">
      <c r="A4" s="1"/>
      <c r="B4" s="133"/>
      <c r="C4" s="133"/>
      <c r="D4" s="133"/>
      <c r="E4" s="133"/>
      <c r="F4" s="133"/>
      <c r="G4" s="1"/>
    </row>
    <row r="5" spans="1:7" ht="15" customHeight="1" x14ac:dyDescent="0.25">
      <c r="A5" s="1"/>
      <c r="B5" s="75"/>
      <c r="C5" s="75"/>
      <c r="D5" s="75"/>
      <c r="E5" s="75"/>
      <c r="F5" s="75"/>
      <c r="G5" s="1"/>
    </row>
    <row r="6" spans="1:7" ht="15" customHeight="1" x14ac:dyDescent="0.25">
      <c r="A6" s="1"/>
      <c r="B6" s="75"/>
      <c r="C6" s="75"/>
      <c r="D6" s="75"/>
      <c r="E6" s="75"/>
      <c r="F6" s="75"/>
      <c r="G6" s="1"/>
    </row>
    <row r="7" spans="1:7" x14ac:dyDescent="0.25">
      <c r="A7" s="1"/>
      <c r="B7" s="1"/>
      <c r="C7" s="1"/>
      <c r="D7" s="1"/>
      <c r="E7" s="1"/>
      <c r="F7" s="1"/>
      <c r="G7" s="1"/>
    </row>
    <row r="8" spans="1:7" x14ac:dyDescent="0.25">
      <c r="A8" s="1"/>
      <c r="B8" s="125" t="s">
        <v>178</v>
      </c>
      <c r="C8" s="126"/>
      <c r="D8" s="126"/>
      <c r="E8" s="126"/>
      <c r="F8" s="127"/>
      <c r="G8" s="1"/>
    </row>
    <row r="9" spans="1:7" x14ac:dyDescent="0.25">
      <c r="A9" s="1"/>
      <c r="B9" s="135" t="s">
        <v>205</v>
      </c>
      <c r="C9" s="136"/>
      <c r="D9" s="137"/>
      <c r="E9" s="9">
        <v>1387115.3676178455</v>
      </c>
      <c r="F9" s="14" t="s">
        <v>3</v>
      </c>
      <c r="G9" s="1"/>
    </row>
    <row r="10" spans="1:7" x14ac:dyDescent="0.25">
      <c r="A10" s="1"/>
      <c r="B10" s="135" t="s">
        <v>265</v>
      </c>
      <c r="C10" s="136"/>
      <c r="D10" s="137"/>
      <c r="E10" s="9">
        <v>1387115.3676178455</v>
      </c>
      <c r="F10" s="14" t="s">
        <v>3</v>
      </c>
      <c r="G10" s="1"/>
    </row>
    <row r="11" spans="1:7" x14ac:dyDescent="0.25">
      <c r="A11" s="1"/>
      <c r="B11" s="32"/>
      <c r="C11" s="27"/>
      <c r="D11" s="27"/>
      <c r="E11" s="27"/>
      <c r="F11" s="19"/>
      <c r="G11" s="1"/>
    </row>
    <row r="12" spans="1:7" ht="67.5" customHeight="1" x14ac:dyDescent="0.25">
      <c r="A12" s="1"/>
      <c r="B12" s="128" t="s">
        <v>266</v>
      </c>
      <c r="C12" s="129"/>
      <c r="D12" s="129"/>
      <c r="E12" s="129"/>
      <c r="F12" s="130"/>
      <c r="G12" s="1"/>
    </row>
    <row r="13" spans="1:7" ht="27" customHeight="1" x14ac:dyDescent="0.25">
      <c r="A13" s="1"/>
      <c r="B13" s="1"/>
      <c r="C13" s="1"/>
      <c r="D13" s="1"/>
      <c r="E13" s="1"/>
      <c r="F13" s="1"/>
      <c r="G13" s="1"/>
    </row>
    <row r="14" spans="1:7" ht="28.5" customHeight="1" x14ac:dyDescent="0.25">
      <c r="A14" s="1"/>
      <c r="B14" s="125" t="s">
        <v>179</v>
      </c>
      <c r="C14" s="126"/>
      <c r="D14" s="126"/>
      <c r="E14" s="126"/>
      <c r="F14" s="127"/>
      <c r="G14" s="1"/>
    </row>
    <row r="15" spans="1:7" x14ac:dyDescent="0.25">
      <c r="A15" s="1"/>
      <c r="B15" s="135" t="s">
        <v>284</v>
      </c>
      <c r="C15" s="136"/>
      <c r="D15" s="137"/>
      <c r="E15" s="9">
        <v>-5499702</v>
      </c>
      <c r="F15" s="14" t="s">
        <v>3</v>
      </c>
      <c r="G15" s="1"/>
    </row>
    <row r="16" spans="1:7" x14ac:dyDescent="0.25">
      <c r="A16" s="1"/>
      <c r="B16" s="135" t="s">
        <v>285</v>
      </c>
      <c r="C16" s="136"/>
      <c r="D16" s="137"/>
      <c r="E16" s="9">
        <v>-5499702</v>
      </c>
      <c r="F16" s="14" t="s">
        <v>3</v>
      </c>
      <c r="G16" s="1"/>
    </row>
    <row r="17" spans="1:7" x14ac:dyDescent="0.25">
      <c r="A17" s="1"/>
      <c r="B17" s="32"/>
      <c r="C17" s="27"/>
      <c r="D17" s="27"/>
      <c r="E17" s="27"/>
      <c r="F17" s="19"/>
      <c r="G17" s="1"/>
    </row>
    <row r="18" spans="1:7" ht="31.5" customHeight="1" x14ac:dyDescent="0.25">
      <c r="A18" s="1"/>
      <c r="B18" s="128" t="s">
        <v>180</v>
      </c>
      <c r="C18" s="129"/>
      <c r="D18" s="129"/>
      <c r="E18" s="129"/>
      <c r="F18" s="130"/>
      <c r="G18" s="1"/>
    </row>
    <row r="19" spans="1:7" ht="28.5" customHeight="1" x14ac:dyDescent="0.25">
      <c r="A19" s="1"/>
      <c r="B19" s="1"/>
      <c r="C19" s="1"/>
      <c r="D19" s="1"/>
      <c r="E19" s="1"/>
      <c r="F19" s="1"/>
      <c r="G19" s="1"/>
    </row>
    <row r="20" spans="1:7" ht="28.5" customHeight="1" x14ac:dyDescent="0.25">
      <c r="A20" s="1"/>
      <c r="B20" s="79" t="s">
        <v>206</v>
      </c>
      <c r="C20" s="80"/>
      <c r="D20" s="80"/>
      <c r="E20" s="80"/>
      <c r="F20" s="81"/>
      <c r="G20" s="1"/>
    </row>
    <row r="21" spans="1:7" x14ac:dyDescent="0.25">
      <c r="A21" s="1"/>
      <c r="B21" s="84" t="s">
        <v>207</v>
      </c>
      <c r="C21" s="85"/>
      <c r="D21" s="86"/>
      <c r="E21" s="9">
        <v>126603010.94231673</v>
      </c>
      <c r="F21" s="14" t="s">
        <v>3</v>
      </c>
      <c r="G21" s="1"/>
    </row>
    <row r="22" spans="1:7" x14ac:dyDescent="0.25">
      <c r="A22" s="1"/>
      <c r="B22" s="84" t="s">
        <v>208</v>
      </c>
      <c r="C22" s="85"/>
      <c r="D22" s="86"/>
      <c r="E22" s="9">
        <v>130656699.36</v>
      </c>
      <c r="F22" s="14" t="s">
        <v>3</v>
      </c>
      <c r="G22" s="1"/>
    </row>
    <row r="23" spans="1:7" x14ac:dyDescent="0.25">
      <c r="A23" s="1"/>
      <c r="B23" s="84" t="s">
        <v>33</v>
      </c>
      <c r="C23" s="85"/>
      <c r="D23" s="86"/>
      <c r="E23" s="9">
        <v>0</v>
      </c>
      <c r="F23" s="14" t="s">
        <v>3</v>
      </c>
      <c r="G23" s="1"/>
    </row>
    <row r="24" spans="1:7" x14ac:dyDescent="0.25">
      <c r="A24" s="1"/>
      <c r="B24" s="82" t="s">
        <v>273</v>
      </c>
      <c r="C24" s="83"/>
      <c r="D24" s="90"/>
      <c r="E24" s="65">
        <f>E21-(E22-E23)</f>
        <v>-4053688.4176832736</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25" t="s">
        <v>286</v>
      </c>
      <c r="C27" s="126"/>
      <c r="D27" s="126"/>
      <c r="E27" s="126"/>
      <c r="F27" s="127"/>
      <c r="G27" s="1"/>
    </row>
    <row r="28" spans="1:7" x14ac:dyDescent="0.25">
      <c r="A28" s="1"/>
      <c r="B28" s="131" t="s">
        <v>287</v>
      </c>
      <c r="C28" s="132"/>
      <c r="D28" s="154"/>
      <c r="E28" s="66">
        <f>E16</f>
        <v>-5499702</v>
      </c>
      <c r="F28" s="17" t="s">
        <v>3</v>
      </c>
      <c r="G28" s="1"/>
    </row>
    <row r="29" spans="1:7" x14ac:dyDescent="0.25">
      <c r="A29" s="1"/>
      <c r="B29" s="125"/>
      <c r="C29" s="126"/>
      <c r="D29" s="126"/>
      <c r="E29" s="126"/>
      <c r="F29" s="127"/>
      <c r="G29" s="1"/>
    </row>
    <row r="30" spans="1:7" x14ac:dyDescent="0.25">
      <c r="A30" s="1"/>
      <c r="B30" s="1"/>
      <c r="C30" s="1"/>
      <c r="D30" s="1"/>
      <c r="E30" s="1"/>
      <c r="F30" s="1"/>
      <c r="G30" s="1"/>
    </row>
    <row r="31" spans="1:7" ht="28.5" customHeight="1" x14ac:dyDescent="0.25">
      <c r="A31" s="1"/>
      <c r="B31" s="125" t="s">
        <v>267</v>
      </c>
      <c r="C31" s="126"/>
      <c r="D31" s="126"/>
      <c r="E31" s="126"/>
      <c r="F31" s="127"/>
      <c r="G31" s="1"/>
    </row>
    <row r="32" spans="1:7" x14ac:dyDescent="0.25">
      <c r="A32" s="1"/>
      <c r="B32" s="155" t="s">
        <v>143</v>
      </c>
      <c r="C32" s="156"/>
      <c r="D32" s="157"/>
      <c r="E32" s="67">
        <f>IF(AND(E9&gt;0,(E9+E24)&gt;0),0,IF(AND(E9&gt;0,(E9+E24)&lt;0),(E9+E24),IF(AND(E9&lt;0,E24&lt;0),E24,0)))</f>
        <v>-2666573.050065428</v>
      </c>
      <c r="F32" s="14" t="s">
        <v>3</v>
      </c>
      <c r="G32" s="1"/>
    </row>
    <row r="33" spans="1:7" x14ac:dyDescent="0.25">
      <c r="A33" s="1"/>
      <c r="B33" s="155" t="s">
        <v>102</v>
      </c>
      <c r="C33" s="156"/>
      <c r="D33" s="157"/>
      <c r="E33" s="9">
        <v>4</v>
      </c>
      <c r="F33" s="14" t="s">
        <v>20</v>
      </c>
      <c r="G33" s="1"/>
    </row>
    <row r="34" spans="1:7" x14ac:dyDescent="0.25">
      <c r="A34" s="1"/>
      <c r="B34" s="153" t="s">
        <v>144</v>
      </c>
      <c r="C34" s="153"/>
      <c r="D34" s="153"/>
      <c r="E34" s="66">
        <f>E32/E33</f>
        <v>-666643.262516357</v>
      </c>
      <c r="F34" s="17" t="s">
        <v>3</v>
      </c>
      <c r="G34" s="1"/>
    </row>
    <row r="35" spans="1:7" x14ac:dyDescent="0.25">
      <c r="A35" s="1"/>
      <c r="B35" s="150"/>
      <c r="C35" s="151"/>
      <c r="D35" s="151"/>
      <c r="E35" s="151"/>
      <c r="F35" s="152"/>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B41" s="48"/>
      <c r="C41" s="48"/>
      <c r="D41" s="48"/>
      <c r="E41" s="48"/>
      <c r="F41" s="48"/>
    </row>
    <row r="42" spans="1:7" x14ac:dyDescent="0.25">
      <c r="A42" s="48"/>
      <c r="B42" s="48"/>
      <c r="C42" s="48"/>
      <c r="D42" s="48"/>
      <c r="E42" s="48"/>
      <c r="F42" s="48"/>
      <c r="G42" s="48"/>
    </row>
    <row r="43" spans="1:7" x14ac:dyDescent="0.25">
      <c r="A43" s="48"/>
      <c r="B43" s="48"/>
      <c r="C43" s="48"/>
      <c r="D43" s="48"/>
      <c r="E43" s="48"/>
      <c r="F43" s="48"/>
      <c r="G43" s="48"/>
    </row>
  </sheetData>
  <sheetProtection algorithmName="SHA-512" hashValue="MqMZPHD93ELwTwr2uXcqUYPTRHy4aZ6cwO5ZyM7JeG/E7vrRrdZNW+imRTm1J7R3y4ZvqzsdPVt3xLs916etuw==" saltValue="ghetPqYUYvBBcILztnaJrg==" spinCount="100000" sheet="1" objects="1" scenarios="1"/>
  <mergeCells count="17">
    <mergeCell ref="B15:D15"/>
    <mergeCell ref="B16:D16"/>
    <mergeCell ref="B32:D32"/>
    <mergeCell ref="B29:F29"/>
    <mergeCell ref="B3:F4"/>
    <mergeCell ref="B8:F8"/>
    <mergeCell ref="B9:D9"/>
    <mergeCell ref="B10:D10"/>
    <mergeCell ref="B14:F14"/>
    <mergeCell ref="B12:F12"/>
    <mergeCell ref="B34:D34"/>
    <mergeCell ref="B35:F35"/>
    <mergeCell ref="B18:F18"/>
    <mergeCell ref="B27:F27"/>
    <mergeCell ref="B28:D28"/>
    <mergeCell ref="B31:F31"/>
    <mergeCell ref="B33:D33"/>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43"/>
  <sheetViews>
    <sheetView view="pageLayout" zoomScaleNormal="100" workbookViewId="0"/>
  </sheetViews>
  <sheetFormatPr defaultColWidth="9.140625" defaultRowHeight="15" x14ac:dyDescent="0.25"/>
  <cols>
    <col min="1" max="1" width="4.7109375" style="62" customWidth="1"/>
    <col min="2" max="2" width="22.5703125" style="62" customWidth="1"/>
    <col min="3" max="3" width="8.28515625" style="62" customWidth="1"/>
    <col min="4" max="6" width="10.7109375" style="62" customWidth="1"/>
    <col min="7" max="7" width="11.140625" style="62" customWidth="1"/>
    <col min="8" max="8" width="3.28515625" style="62" customWidth="1"/>
    <col min="9" max="9" width="4.85546875" style="62" customWidth="1"/>
    <col min="10" max="16384" width="9.140625" style="6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7" t="s">
        <v>252</v>
      </c>
      <c r="C3" s="117"/>
      <c r="D3" s="117"/>
      <c r="E3" s="117"/>
      <c r="F3" s="117"/>
      <c r="G3" s="117"/>
      <c r="H3" s="117"/>
      <c r="I3" s="1"/>
    </row>
    <row r="4" spans="1:9" ht="15" customHeight="1" x14ac:dyDescent="0.25">
      <c r="A4" s="1"/>
      <c r="B4" s="117"/>
      <c r="C4" s="117"/>
      <c r="D4" s="117"/>
      <c r="E4" s="117"/>
      <c r="F4" s="117"/>
      <c r="G4" s="117"/>
      <c r="H4" s="11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5" t="s">
        <v>264</v>
      </c>
      <c r="C8" s="126"/>
      <c r="D8" s="126"/>
      <c r="E8" s="126"/>
      <c r="F8" s="126"/>
      <c r="G8" s="126"/>
      <c r="H8" s="127"/>
      <c r="I8" s="1"/>
    </row>
    <row r="9" spans="1:9" ht="15" customHeight="1" x14ac:dyDescent="0.25">
      <c r="A9" s="1"/>
      <c r="B9" s="122" t="s">
        <v>253</v>
      </c>
      <c r="C9" s="123"/>
      <c r="D9" s="123"/>
      <c r="E9" s="123"/>
      <c r="F9" s="123"/>
      <c r="G9" s="123"/>
      <c r="H9" s="124"/>
      <c r="I9" s="1"/>
    </row>
    <row r="10" spans="1:9" x14ac:dyDescent="0.25">
      <c r="A10" s="1"/>
      <c r="B10" s="158" t="s">
        <v>276</v>
      </c>
      <c r="C10" s="159"/>
      <c r="D10" s="159"/>
      <c r="E10" s="159"/>
      <c r="F10" s="160"/>
      <c r="G10" s="9">
        <v>0</v>
      </c>
      <c r="H10" s="9" t="s">
        <v>3</v>
      </c>
      <c r="I10" s="1"/>
    </row>
    <row r="11" spans="1:9" x14ac:dyDescent="0.25">
      <c r="A11" s="1"/>
      <c r="B11" s="158" t="s">
        <v>277</v>
      </c>
      <c r="C11" s="159"/>
      <c r="D11" s="159"/>
      <c r="E11" s="159"/>
      <c r="F11" s="160"/>
      <c r="G11" s="9">
        <v>0</v>
      </c>
      <c r="H11" s="9" t="s">
        <v>3</v>
      </c>
      <c r="I11" s="1"/>
    </row>
    <row r="12" spans="1:9" x14ac:dyDescent="0.25">
      <c r="A12" s="1"/>
      <c r="B12" s="158" t="s">
        <v>278</v>
      </c>
      <c r="C12" s="159"/>
      <c r="D12" s="159"/>
      <c r="E12" s="159"/>
      <c r="F12" s="160"/>
      <c r="G12" s="9">
        <v>0</v>
      </c>
      <c r="H12" s="9" t="s">
        <v>3</v>
      </c>
      <c r="I12" s="1"/>
    </row>
    <row r="13" spans="1:9" x14ac:dyDescent="0.25">
      <c r="A13" s="1"/>
      <c r="B13" s="158" t="s">
        <v>279</v>
      </c>
      <c r="C13" s="159"/>
      <c r="D13" s="159"/>
      <c r="E13" s="159"/>
      <c r="F13" s="160"/>
      <c r="G13" s="9">
        <v>0</v>
      </c>
      <c r="H13" s="9" t="s">
        <v>3</v>
      </c>
      <c r="I13" s="1"/>
    </row>
    <row r="14" spans="1:9" x14ac:dyDescent="0.25">
      <c r="A14" s="1"/>
      <c r="B14" s="158" t="s">
        <v>280</v>
      </c>
      <c r="C14" s="159"/>
      <c r="D14" s="159"/>
      <c r="E14" s="159"/>
      <c r="F14" s="160"/>
      <c r="G14" s="9">
        <v>0</v>
      </c>
      <c r="H14" s="9" t="s">
        <v>3</v>
      </c>
      <c r="I14" s="1"/>
    </row>
    <row r="15" spans="1:9" x14ac:dyDescent="0.25">
      <c r="A15" s="1"/>
      <c r="B15" s="158" t="s">
        <v>281</v>
      </c>
      <c r="C15" s="159"/>
      <c r="D15" s="159"/>
      <c r="E15" s="159"/>
      <c r="F15" s="160"/>
      <c r="G15" s="9">
        <v>0</v>
      </c>
      <c r="H15" s="9" t="s">
        <v>3</v>
      </c>
      <c r="I15" s="1"/>
    </row>
    <row r="16" spans="1:9" x14ac:dyDescent="0.25">
      <c r="A16" s="1"/>
      <c r="B16" s="158" t="s">
        <v>282</v>
      </c>
      <c r="C16" s="159"/>
      <c r="D16" s="159"/>
      <c r="E16" s="159"/>
      <c r="F16" s="160"/>
      <c r="G16" s="9">
        <v>0</v>
      </c>
      <c r="H16" s="9" t="s">
        <v>3</v>
      </c>
      <c r="I16" s="1"/>
    </row>
    <row r="17" spans="1:9" x14ac:dyDescent="0.25">
      <c r="A17" s="1"/>
      <c r="B17" s="158" t="s">
        <v>283</v>
      </c>
      <c r="C17" s="159"/>
      <c r="D17" s="159"/>
      <c r="E17" s="159"/>
      <c r="F17" s="160"/>
      <c r="G17" s="9">
        <v>0</v>
      </c>
      <c r="H17" s="9" t="s">
        <v>3</v>
      </c>
      <c r="I17" s="1"/>
    </row>
    <row r="18" spans="1:9" x14ac:dyDescent="0.25">
      <c r="A18" s="1"/>
      <c r="B18" s="125" t="s">
        <v>254</v>
      </c>
      <c r="C18" s="126"/>
      <c r="D18" s="126"/>
      <c r="E18" s="126"/>
      <c r="F18" s="127"/>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5DNdxv1hniKhn+Ecpqvwt2uPD5RpDMBa+WnQO796bO2KfgGburSlp7dlTpejZzXrgcy4waoMDo/b2VToDfGecQ==" saltValue="DE4mXglOhOGhe6EShqCX5Q==" spinCount="100000" sheet="1" objects="1" scenarios="1"/>
  <mergeCells count="12">
    <mergeCell ref="B17:F17"/>
    <mergeCell ref="B18:F18"/>
    <mergeCell ref="B12:F12"/>
    <mergeCell ref="B13:F13"/>
    <mergeCell ref="B14:F14"/>
    <mergeCell ref="B15:F15"/>
    <mergeCell ref="B16:F16"/>
    <mergeCell ref="B9:H9"/>
    <mergeCell ref="B3:H4"/>
    <mergeCell ref="B8:H8"/>
    <mergeCell ref="B11:F11"/>
    <mergeCell ref="B10:F10"/>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3" t="s">
        <v>256</v>
      </c>
      <c r="C3" s="133"/>
      <c r="D3" s="133"/>
      <c r="E3" s="133"/>
      <c r="F3" s="133"/>
      <c r="G3" s="1"/>
    </row>
    <row r="4" spans="1:7" ht="15" customHeight="1" x14ac:dyDescent="0.25">
      <c r="A4" s="1"/>
      <c r="B4" s="133"/>
      <c r="C4" s="133"/>
      <c r="D4" s="133"/>
      <c r="E4" s="133"/>
      <c r="F4" s="13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5" t="s">
        <v>209</v>
      </c>
      <c r="C9" s="126"/>
      <c r="D9" s="126"/>
      <c r="E9" s="126"/>
      <c r="F9" s="127"/>
      <c r="G9" s="1"/>
    </row>
    <row r="10" spans="1:7" x14ac:dyDescent="0.25">
      <c r="A10" s="1"/>
      <c r="B10" s="128" t="s">
        <v>100</v>
      </c>
      <c r="C10" s="129"/>
      <c r="D10" s="130"/>
      <c r="E10" s="7">
        <v>0</v>
      </c>
      <c r="F10" s="8" t="s">
        <v>3</v>
      </c>
      <c r="G10" s="1"/>
    </row>
    <row r="11" spans="1:7" x14ac:dyDescent="0.25">
      <c r="A11" s="1"/>
      <c r="B11" s="135" t="s">
        <v>210</v>
      </c>
      <c r="C11" s="136"/>
      <c r="D11" s="137"/>
      <c r="E11" s="7">
        <v>0</v>
      </c>
      <c r="F11" s="8" t="s">
        <v>3</v>
      </c>
      <c r="G11" s="1"/>
    </row>
    <row r="12" spans="1:7" x14ac:dyDescent="0.25">
      <c r="A12" s="1"/>
      <c r="B12" s="131" t="s">
        <v>101</v>
      </c>
      <c r="C12" s="132"/>
      <c r="D12" s="154"/>
      <c r="E12" s="10">
        <f>E11-E10</f>
        <v>0</v>
      </c>
      <c r="F12" s="11" t="s">
        <v>3</v>
      </c>
      <c r="G12" s="1"/>
    </row>
    <row r="13" spans="1:7" x14ac:dyDescent="0.25">
      <c r="A13" s="1"/>
      <c r="B13" s="125" t="s">
        <v>94</v>
      </c>
      <c r="C13" s="126"/>
      <c r="D13" s="126"/>
      <c r="E13" s="126"/>
      <c r="F13" s="127"/>
      <c r="G13" s="1"/>
    </row>
    <row r="14" spans="1:7" x14ac:dyDescent="0.25">
      <c r="A14" s="1"/>
      <c r="B14" s="135" t="s">
        <v>211</v>
      </c>
      <c r="C14" s="136"/>
      <c r="D14" s="137"/>
      <c r="E14" s="9">
        <v>0</v>
      </c>
      <c r="F14" s="8" t="s">
        <v>3</v>
      </c>
      <c r="G14" s="1"/>
    </row>
    <row r="15" spans="1:7" x14ac:dyDescent="0.25">
      <c r="A15" s="1"/>
      <c r="B15" s="128" t="s">
        <v>212</v>
      </c>
      <c r="C15" s="129"/>
      <c r="D15" s="130"/>
      <c r="E15" s="9">
        <v>0</v>
      </c>
      <c r="F15" s="8" t="s">
        <v>3</v>
      </c>
      <c r="G15" s="1"/>
    </row>
    <row r="16" spans="1:7" x14ac:dyDescent="0.25">
      <c r="A16" s="1"/>
      <c r="B16" s="131" t="s">
        <v>101</v>
      </c>
      <c r="C16" s="132"/>
      <c r="D16" s="154"/>
      <c r="E16" s="10">
        <f>E15-E14</f>
        <v>0</v>
      </c>
      <c r="F16" s="11" t="s">
        <v>3</v>
      </c>
      <c r="G16" s="1"/>
    </row>
    <row r="17" spans="1:7" x14ac:dyDescent="0.25">
      <c r="A17" s="1"/>
      <c r="B17" s="32" t="s">
        <v>213</v>
      </c>
      <c r="C17" s="27"/>
      <c r="D17" s="27"/>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6qTV82oYvJL1x0lBokGC9/1VTW0HU39C/Q4wFf/58auT9pQEDbPdlUG4S06kAy2lin53Z7Q7monXTOER4Ysq1g==" saltValue="pPDOvXQCUVzS84zBzkVu+Q=="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7" t="s">
        <v>257</v>
      </c>
      <c r="C3" s="117"/>
      <c r="D3" s="117"/>
      <c r="E3" s="117"/>
      <c r="F3" s="117"/>
      <c r="G3" s="117"/>
      <c r="H3" s="117"/>
      <c r="I3" s="117"/>
      <c r="J3" s="117"/>
      <c r="K3" s="117"/>
      <c r="L3" s="1"/>
    </row>
    <row r="4" spans="1:12" ht="15" customHeight="1" x14ac:dyDescent="0.25">
      <c r="A4" s="1"/>
      <c r="B4" s="117"/>
      <c r="C4" s="117"/>
      <c r="D4" s="117"/>
      <c r="E4" s="117"/>
      <c r="F4" s="117"/>
      <c r="G4" s="117"/>
      <c r="H4" s="117"/>
      <c r="I4" s="117"/>
      <c r="J4" s="117"/>
      <c r="K4" s="11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5" t="s">
        <v>221</v>
      </c>
      <c r="C8" s="126"/>
      <c r="D8" s="126"/>
      <c r="E8" s="126"/>
      <c r="F8" s="126"/>
      <c r="G8" s="126"/>
      <c r="H8" s="126"/>
      <c r="I8" s="126"/>
      <c r="J8" s="126"/>
      <c r="K8" s="127"/>
      <c r="L8" s="1"/>
    </row>
    <row r="9" spans="1:12" ht="39.75" customHeight="1" x14ac:dyDescent="0.25">
      <c r="A9" s="1"/>
      <c r="B9" s="18" t="s">
        <v>0</v>
      </c>
      <c r="C9" s="18" t="s">
        <v>1</v>
      </c>
      <c r="D9" s="161" t="s">
        <v>247</v>
      </c>
      <c r="E9" s="162"/>
      <c r="F9" s="161" t="s">
        <v>2</v>
      </c>
      <c r="G9" s="162"/>
      <c r="H9" s="161" t="s">
        <v>246</v>
      </c>
      <c r="I9" s="162"/>
      <c r="J9" s="161" t="s">
        <v>30</v>
      </c>
      <c r="K9" s="162"/>
      <c r="L9" s="1"/>
    </row>
    <row r="10" spans="1:12" x14ac:dyDescent="0.25">
      <c r="A10" s="1"/>
      <c r="B10" s="91" t="s">
        <v>275</v>
      </c>
      <c r="C10" s="41">
        <v>0</v>
      </c>
      <c r="D10" s="9">
        <v>0</v>
      </c>
      <c r="E10" s="14" t="s">
        <v>3</v>
      </c>
      <c r="F10" s="9">
        <f>IFERROR(D10/C10,0)</f>
        <v>0</v>
      </c>
      <c r="G10" s="14" t="s">
        <v>3</v>
      </c>
      <c r="H10" s="44">
        <v>0</v>
      </c>
      <c r="I10" s="14" t="s">
        <v>3</v>
      </c>
      <c r="J10" s="44">
        <v>0</v>
      </c>
      <c r="K10" s="14" t="s">
        <v>3</v>
      </c>
      <c r="L10" s="1"/>
    </row>
    <row r="11" spans="1:12" x14ac:dyDescent="0.25">
      <c r="A11" s="1"/>
      <c r="B11" s="79" t="s">
        <v>222</v>
      </c>
      <c r="C11" s="80"/>
      <c r="D11" s="81"/>
      <c r="E11" s="81"/>
      <c r="F11" s="12">
        <f>SUM(F10:F10)</f>
        <v>0</v>
      </c>
      <c r="G11" s="12" t="s">
        <v>245</v>
      </c>
      <c r="H11" s="12">
        <f>SUM(H10:H10)</f>
        <v>0</v>
      </c>
      <c r="I11" s="12" t="s">
        <v>245</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Z+QE25GBObWYxMVTEmtVPyULzj8c+59yOD5pXiGbTK5thAQTnlCwVbBDBljNpYPI8iEsqFvs6czhpSEld/5kIQ==" saltValue="CMEAsU044jzATE4hGUtxD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8"/>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7" t="s">
        <v>258</v>
      </c>
      <c r="C3" s="117"/>
      <c r="D3" s="117"/>
      <c r="E3" s="117"/>
      <c r="F3" s="117"/>
      <c r="G3" s="1"/>
    </row>
    <row r="4" spans="1:7" ht="15" customHeight="1" x14ac:dyDescent="0.25">
      <c r="A4" s="1"/>
      <c r="B4" s="117"/>
      <c r="C4" s="117"/>
      <c r="D4" s="117"/>
      <c r="E4" s="117"/>
      <c r="F4" s="11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77" t="s">
        <v>17</v>
      </c>
      <c r="C9" s="77" t="s">
        <v>11</v>
      </c>
      <c r="D9" s="78"/>
      <c r="E9" s="77" t="s">
        <v>31</v>
      </c>
      <c r="F9" s="31"/>
      <c r="G9" s="1"/>
    </row>
    <row r="10" spans="1:7" x14ac:dyDescent="0.25">
      <c r="A10" s="1"/>
      <c r="B10" s="23" t="s">
        <v>228</v>
      </c>
      <c r="C10" s="21">
        <f>'Fane 10. Anlægsprojekter (§ 19)'!H11</f>
        <v>0</v>
      </c>
      <c r="D10" s="14" t="s">
        <v>3</v>
      </c>
      <c r="E10" s="9">
        <f>SUM('Fane 10. Anlægsprojekter (§ 19)'!F11,'Fane 10. Anlægsprojekter (§ 19)'!J11)</f>
        <v>0</v>
      </c>
      <c r="F10" s="14" t="s">
        <v>3</v>
      </c>
      <c r="G10" s="1"/>
    </row>
    <row r="11" spans="1:7" x14ac:dyDescent="0.25">
      <c r="A11" s="1"/>
      <c r="B11" s="32" t="s">
        <v>156</v>
      </c>
      <c r="C11" s="12">
        <f>SUM(C10:C10)</f>
        <v>0</v>
      </c>
      <c r="D11" s="13" t="s">
        <v>3</v>
      </c>
      <c r="E11" s="12">
        <f>SUM(E10:E10)</f>
        <v>0</v>
      </c>
      <c r="F11" s="13" t="s">
        <v>3</v>
      </c>
      <c r="G11" s="1"/>
    </row>
    <row r="12" spans="1:7" x14ac:dyDescent="0.25">
      <c r="A12" s="1"/>
      <c r="B12" s="32" t="s">
        <v>214</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u5foYEy0r16QACUJGfzKFI76rxzSxdYcLiRZuf97U3Q1SqrCbP0zGHFQrMVEWFWLByNPeLU7Q8ezkum4WX3o1g==" saltValue="18FrDy1VWrCyDbtHHg9Pz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7" t="s">
        <v>259</v>
      </c>
      <c r="C3" s="117"/>
      <c r="D3" s="117"/>
      <c r="E3" s="117"/>
      <c r="F3" s="117"/>
      <c r="G3" s="1"/>
    </row>
    <row r="4" spans="1:7" ht="15" customHeight="1" x14ac:dyDescent="0.25">
      <c r="A4" s="1"/>
      <c r="B4" s="117"/>
      <c r="C4" s="117"/>
      <c r="D4" s="117"/>
      <c r="E4" s="117"/>
      <c r="F4" s="11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5" t="s">
        <v>97</v>
      </c>
      <c r="C8" s="126"/>
      <c r="D8" s="126"/>
      <c r="E8" s="126"/>
      <c r="F8" s="127"/>
      <c r="G8" s="1"/>
    </row>
    <row r="9" spans="1:7" x14ac:dyDescent="0.25">
      <c r="A9" s="1"/>
      <c r="B9" s="77" t="s">
        <v>17</v>
      </c>
      <c r="C9" s="77" t="s">
        <v>11</v>
      </c>
      <c r="D9" s="78"/>
      <c r="E9" s="77" t="s">
        <v>31</v>
      </c>
      <c r="F9" s="31"/>
      <c r="G9" s="1"/>
    </row>
    <row r="10" spans="1:7" x14ac:dyDescent="0.25">
      <c r="A10" s="1"/>
      <c r="B10" s="23" t="s">
        <v>288</v>
      </c>
      <c r="C10" s="21">
        <v>0</v>
      </c>
      <c r="D10" s="14" t="s">
        <v>3</v>
      </c>
      <c r="E10" s="9">
        <v>0</v>
      </c>
      <c r="F10" s="14" t="s">
        <v>3</v>
      </c>
      <c r="G10" s="1"/>
    </row>
    <row r="11" spans="1:7" x14ac:dyDescent="0.25">
      <c r="A11" s="1"/>
      <c r="B11" s="32" t="s">
        <v>234</v>
      </c>
      <c r="C11" s="12">
        <f>SUM(C10:C10)</f>
        <v>0</v>
      </c>
      <c r="D11" s="13" t="s">
        <v>3</v>
      </c>
      <c r="E11" s="12">
        <f>SUM(E10:E10)</f>
        <v>0</v>
      </c>
      <c r="F11" s="13" t="s">
        <v>3</v>
      </c>
      <c r="G11" s="1"/>
    </row>
    <row r="12" spans="1:7" x14ac:dyDescent="0.25">
      <c r="A12" s="1"/>
      <c r="B12" s="32"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3"/>
      <c r="C14" s="163"/>
      <c r="D14" s="163"/>
      <c r="E14" s="163"/>
      <c r="F14" s="163"/>
      <c r="G14" s="1"/>
    </row>
    <row r="15" spans="1:7" x14ac:dyDescent="0.25">
      <c r="A15" s="1"/>
      <c r="B15" s="53"/>
      <c r="C15" s="53"/>
      <c r="D15" s="53"/>
      <c r="E15" s="53"/>
      <c r="F15" s="54"/>
      <c r="G15" s="1"/>
    </row>
    <row r="16" spans="1:7" x14ac:dyDescent="0.25">
      <c r="A16" s="1"/>
      <c r="B16" s="55"/>
      <c r="C16" s="56"/>
      <c r="D16" s="57"/>
      <c r="E16" s="58"/>
      <c r="F16" s="57"/>
      <c r="G16" s="1"/>
    </row>
    <row r="17" spans="1:7" x14ac:dyDescent="0.25">
      <c r="A17" s="1"/>
      <c r="B17" s="55"/>
      <c r="C17" s="56"/>
      <c r="D17" s="57"/>
      <c r="E17" s="58"/>
      <c r="F17" s="57"/>
      <c r="G17" s="1"/>
    </row>
    <row r="18" spans="1:7" x14ac:dyDescent="0.25">
      <c r="A18" s="1"/>
      <c r="B18" s="59"/>
      <c r="C18" s="60"/>
      <c r="D18" s="61"/>
      <c r="E18" s="60"/>
      <c r="F18" s="61"/>
      <c r="G18" s="1"/>
    </row>
    <row r="19" spans="1:7" x14ac:dyDescent="0.25">
      <c r="A19" s="1"/>
      <c r="B19" s="59"/>
      <c r="C19" s="60"/>
      <c r="D19" s="61"/>
      <c r="E19" s="60"/>
      <c r="F19" s="61"/>
      <c r="G19" s="1"/>
    </row>
    <row r="20" spans="1:7" x14ac:dyDescent="0.25">
      <c r="A20" s="1"/>
      <c r="B20" s="52"/>
      <c r="C20" s="52"/>
      <c r="D20" s="52"/>
      <c r="E20" s="52"/>
      <c r="F20" s="52"/>
      <c r="G20" s="1"/>
    </row>
    <row r="21" spans="1:7" x14ac:dyDescent="0.25">
      <c r="A21" s="1"/>
      <c r="B21" s="163"/>
      <c r="C21" s="163"/>
      <c r="D21" s="163"/>
      <c r="E21" s="163"/>
      <c r="F21" s="163"/>
      <c r="G21" s="1"/>
    </row>
    <row r="22" spans="1:7" x14ac:dyDescent="0.25">
      <c r="A22" s="1"/>
      <c r="B22" s="53"/>
      <c r="C22" s="53"/>
      <c r="D22" s="53"/>
      <c r="E22" s="53"/>
      <c r="F22" s="54"/>
      <c r="G22" s="1"/>
    </row>
    <row r="23" spans="1:7" x14ac:dyDescent="0.25">
      <c r="A23" s="1"/>
      <c r="B23" s="55"/>
      <c r="C23" s="56"/>
      <c r="D23" s="57"/>
      <c r="E23" s="58"/>
      <c r="F23" s="57"/>
      <c r="G23" s="1"/>
    </row>
    <row r="24" spans="1:7" x14ac:dyDescent="0.25">
      <c r="A24" s="1"/>
      <c r="B24" s="55"/>
      <c r="C24" s="56"/>
      <c r="D24" s="57"/>
      <c r="E24" s="58"/>
      <c r="F24" s="57"/>
      <c r="G24" s="1"/>
    </row>
    <row r="25" spans="1:7" x14ac:dyDescent="0.25">
      <c r="A25" s="1"/>
      <c r="B25" s="59"/>
      <c r="C25" s="60"/>
      <c r="D25" s="61"/>
      <c r="E25" s="60"/>
      <c r="F25" s="61"/>
      <c r="G25" s="1"/>
    </row>
    <row r="26" spans="1:7" x14ac:dyDescent="0.25">
      <c r="A26" s="1"/>
      <c r="B26" s="59"/>
      <c r="C26" s="60"/>
      <c r="D26" s="61"/>
      <c r="E26" s="60"/>
      <c r="F26" s="61"/>
      <c r="G26" s="1"/>
    </row>
    <row r="27" spans="1:7" x14ac:dyDescent="0.25">
      <c r="A27" s="1"/>
      <c r="B27" s="52"/>
      <c r="C27" s="52"/>
      <c r="D27" s="52"/>
      <c r="E27" s="52"/>
      <c r="F27" s="52"/>
      <c r="G27" s="1"/>
    </row>
    <row r="28" spans="1:7" x14ac:dyDescent="0.25">
      <c r="A28" s="1"/>
      <c r="B28" s="163"/>
      <c r="C28" s="163"/>
      <c r="D28" s="163"/>
      <c r="E28" s="163"/>
      <c r="F28" s="163"/>
      <c r="G28" s="1"/>
    </row>
    <row r="29" spans="1:7" x14ac:dyDescent="0.25">
      <c r="A29" s="1"/>
      <c r="B29" s="53"/>
      <c r="C29" s="53"/>
      <c r="D29" s="53"/>
      <c r="E29" s="53"/>
      <c r="F29" s="54"/>
      <c r="G29" s="1"/>
    </row>
    <row r="30" spans="1:7" x14ac:dyDescent="0.25">
      <c r="A30" s="1"/>
      <c r="B30" s="55"/>
      <c r="C30" s="56"/>
      <c r="D30" s="57"/>
      <c r="E30" s="58"/>
      <c r="F30" s="57"/>
      <c r="G30" s="1"/>
    </row>
    <row r="31" spans="1:7" x14ac:dyDescent="0.25">
      <c r="A31" s="1"/>
      <c r="B31" s="55"/>
      <c r="C31" s="56"/>
      <c r="D31" s="57"/>
      <c r="E31" s="58"/>
      <c r="F31" s="57"/>
      <c r="G31" s="1"/>
    </row>
    <row r="32" spans="1:7" x14ac:dyDescent="0.25">
      <c r="A32" s="1"/>
      <c r="B32" s="59"/>
      <c r="C32" s="60"/>
      <c r="D32" s="61"/>
      <c r="E32" s="60"/>
      <c r="F32" s="61"/>
      <c r="G32" s="1"/>
    </row>
    <row r="33" spans="1:7" x14ac:dyDescent="0.25">
      <c r="A33" s="1"/>
      <c r="B33" s="59"/>
      <c r="C33" s="60"/>
      <c r="D33" s="61"/>
      <c r="E33" s="60"/>
      <c r="F33" s="6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Ym1fT9GmhHNaBtPkj95dls7JB+BCv3xTV5CfAExZOHUWcPQPOUdxB4msVFIVW2UlPEKsyp73ojkjVNYNpqPBOg==" saltValue="ycwMP+p/D3j5spNJvfpGwg=="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3" t="s">
        <v>260</v>
      </c>
      <c r="C3" s="133"/>
      <c r="D3" s="133"/>
      <c r="E3" s="133"/>
      <c r="F3" s="133"/>
      <c r="G3" s="1"/>
    </row>
    <row r="4" spans="1:7" ht="15" customHeight="1" x14ac:dyDescent="0.25">
      <c r="A4" s="1"/>
      <c r="B4" s="133"/>
      <c r="C4" s="133"/>
      <c r="D4" s="133"/>
      <c r="E4" s="133"/>
      <c r="F4" s="133"/>
      <c r="G4" s="1"/>
    </row>
    <row r="5" spans="1:7" x14ac:dyDescent="0.25">
      <c r="A5" s="1"/>
      <c r="B5" s="133"/>
      <c r="C5" s="133"/>
      <c r="D5" s="133"/>
      <c r="E5" s="133"/>
      <c r="F5" s="133"/>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25" t="s">
        <v>91</v>
      </c>
      <c r="C9" s="126"/>
      <c r="D9" s="126"/>
      <c r="E9" s="126"/>
      <c r="F9" s="127"/>
      <c r="G9" s="1"/>
    </row>
    <row r="10" spans="1:7" x14ac:dyDescent="0.25">
      <c r="A10" s="1"/>
      <c r="B10" s="158" t="s">
        <v>226</v>
      </c>
      <c r="C10" s="159"/>
      <c r="D10" s="160"/>
      <c r="E10" s="9">
        <v>0</v>
      </c>
      <c r="F10" s="14" t="s">
        <v>3</v>
      </c>
      <c r="G10" s="1"/>
    </row>
    <row r="11" spans="1:7" x14ac:dyDescent="0.25">
      <c r="A11" s="1"/>
      <c r="B11" s="119" t="s">
        <v>10</v>
      </c>
      <c r="C11" s="120"/>
      <c r="D11" s="121"/>
      <c r="E11" s="9">
        <f>-E10*'Fane 5. Individuelt eff. krav'!G9</f>
        <v>0</v>
      </c>
      <c r="F11" s="14" t="s">
        <v>3</v>
      </c>
      <c r="G11" s="1"/>
    </row>
    <row r="12" spans="1:7" x14ac:dyDescent="0.25">
      <c r="A12" s="1"/>
      <c r="B12" s="119" t="s">
        <v>24</v>
      </c>
      <c r="C12" s="120"/>
      <c r="D12" s="121"/>
      <c r="E12" s="9">
        <f>-E10*'Fane 15. Nøgletal'!C31</f>
        <v>0</v>
      </c>
      <c r="F12" s="14" t="s">
        <v>3</v>
      </c>
      <c r="G12" s="1"/>
    </row>
    <row r="13" spans="1:7" x14ac:dyDescent="0.25">
      <c r="A13" s="1"/>
      <c r="B13" s="125" t="s">
        <v>92</v>
      </c>
      <c r="C13" s="126"/>
      <c r="D13" s="127"/>
      <c r="E13" s="12">
        <f>SUM(E10:E12)*(1+'Fane 15. Nøgletal'!C15)^2</f>
        <v>0</v>
      </c>
      <c r="F13" s="13" t="s">
        <v>3</v>
      </c>
      <c r="G13" s="1"/>
    </row>
    <row r="14" spans="1:7" x14ac:dyDescent="0.25">
      <c r="A14" s="1"/>
      <c r="B14" s="1"/>
      <c r="C14" s="1"/>
      <c r="D14" s="1"/>
      <c r="E14" s="1"/>
      <c r="F14" s="1"/>
      <c r="G14" s="1"/>
    </row>
    <row r="15" spans="1:7" ht="15" customHeight="1" x14ac:dyDescent="0.25">
      <c r="A15" s="1"/>
      <c r="B15" s="125" t="s">
        <v>130</v>
      </c>
      <c r="C15" s="126"/>
      <c r="D15" s="126"/>
      <c r="E15" s="126"/>
      <c r="F15" s="127"/>
      <c r="G15" s="1"/>
    </row>
    <row r="16" spans="1:7" x14ac:dyDescent="0.25">
      <c r="A16" s="1"/>
      <c r="B16" s="158" t="s">
        <v>226</v>
      </c>
      <c r="C16" s="159"/>
      <c r="D16" s="160"/>
      <c r="E16" s="9">
        <v>0</v>
      </c>
      <c r="F16" s="14" t="s">
        <v>3</v>
      </c>
      <c r="G16" s="1"/>
    </row>
    <row r="17" spans="1:7" x14ac:dyDescent="0.25">
      <c r="A17" s="1"/>
      <c r="B17" s="119" t="s">
        <v>10</v>
      </c>
      <c r="C17" s="120"/>
      <c r="D17" s="121"/>
      <c r="E17" s="9">
        <f>-E16*'Fane 5. Individuelt eff. krav'!G9</f>
        <v>0</v>
      </c>
      <c r="F17" s="14" t="s">
        <v>3</v>
      </c>
      <c r="G17" s="1"/>
    </row>
    <row r="18" spans="1:7" x14ac:dyDescent="0.25">
      <c r="A18" s="1"/>
      <c r="B18" s="119" t="s">
        <v>24</v>
      </c>
      <c r="C18" s="120"/>
      <c r="D18" s="121"/>
      <c r="E18" s="9">
        <f>-E16*'Fane 15. Nøgletal'!C31</f>
        <v>0</v>
      </c>
      <c r="F18" s="14" t="s">
        <v>3</v>
      </c>
      <c r="G18" s="1"/>
    </row>
    <row r="19" spans="1:7" x14ac:dyDescent="0.25">
      <c r="A19" s="1"/>
      <c r="B19" s="125" t="s">
        <v>131</v>
      </c>
      <c r="C19" s="126"/>
      <c r="D19" s="127"/>
      <c r="E19" s="12">
        <f>SUM(E16:E18)*(1+'Fane 15. Nøgletal'!C15)^3</f>
        <v>0</v>
      </c>
      <c r="F19" s="13" t="s">
        <v>3</v>
      </c>
      <c r="G19" s="1"/>
    </row>
    <row r="20" spans="1:7" x14ac:dyDescent="0.25">
      <c r="A20" s="1"/>
      <c r="B20" s="1"/>
      <c r="C20" s="1"/>
      <c r="D20" s="1"/>
      <c r="E20" s="1"/>
      <c r="F20" s="1"/>
      <c r="G20" s="1"/>
    </row>
    <row r="21" spans="1:7" ht="15" customHeight="1" x14ac:dyDescent="0.25">
      <c r="A21" s="1"/>
      <c r="B21" s="125" t="s">
        <v>157</v>
      </c>
      <c r="C21" s="126"/>
      <c r="D21" s="126"/>
      <c r="E21" s="126"/>
      <c r="F21" s="127"/>
      <c r="G21" s="1"/>
    </row>
    <row r="22" spans="1:7" x14ac:dyDescent="0.25">
      <c r="A22" s="1"/>
      <c r="B22" s="158" t="s">
        <v>226</v>
      </c>
      <c r="C22" s="159"/>
      <c r="D22" s="160"/>
      <c r="E22" s="9">
        <v>0</v>
      </c>
      <c r="F22" s="14" t="s">
        <v>3</v>
      </c>
      <c r="G22" s="1"/>
    </row>
    <row r="23" spans="1:7" x14ac:dyDescent="0.25">
      <c r="A23" s="1"/>
      <c r="B23" s="119" t="s">
        <v>10</v>
      </c>
      <c r="C23" s="120"/>
      <c r="D23" s="121"/>
      <c r="E23" s="9">
        <f>-E22*'Fane 5. Individuelt eff. krav'!G9</f>
        <v>0</v>
      </c>
      <c r="F23" s="14" t="s">
        <v>3</v>
      </c>
      <c r="G23" s="1"/>
    </row>
    <row r="24" spans="1:7" x14ac:dyDescent="0.25">
      <c r="A24" s="1"/>
      <c r="B24" s="119" t="s">
        <v>24</v>
      </c>
      <c r="C24" s="120"/>
      <c r="D24" s="121"/>
      <c r="E24" s="9">
        <f>-E22*'Fane 15. Nøgletal'!C31</f>
        <v>0</v>
      </c>
      <c r="F24" s="14" t="s">
        <v>3</v>
      </c>
      <c r="G24" s="1"/>
    </row>
    <row r="25" spans="1:7" x14ac:dyDescent="0.25">
      <c r="A25" s="1"/>
      <c r="B25" s="125" t="s">
        <v>158</v>
      </c>
      <c r="C25" s="126"/>
      <c r="D25" s="127"/>
      <c r="E25" s="12">
        <f>SUM(E22:E24)*(1+'Fane 15. Nøgletal'!C15)^4</f>
        <v>0</v>
      </c>
      <c r="F25" s="13" t="s">
        <v>3</v>
      </c>
      <c r="G25" s="1"/>
    </row>
    <row r="26" spans="1:7" x14ac:dyDescent="0.25">
      <c r="A26" s="1"/>
      <c r="B26" s="1"/>
      <c r="C26" s="1"/>
      <c r="D26" s="1"/>
      <c r="E26" s="1"/>
      <c r="F26" s="1"/>
      <c r="G26" s="1"/>
    </row>
    <row r="27" spans="1:7" ht="15" customHeight="1" x14ac:dyDescent="0.25">
      <c r="A27" s="1"/>
      <c r="B27" s="125" t="s">
        <v>215</v>
      </c>
      <c r="C27" s="126"/>
      <c r="D27" s="126"/>
      <c r="E27" s="126"/>
      <c r="F27" s="127"/>
      <c r="G27" s="1"/>
    </row>
    <row r="28" spans="1:7" ht="14.25" customHeight="1" x14ac:dyDescent="0.25">
      <c r="A28" s="1"/>
      <c r="B28" s="158" t="s">
        <v>226</v>
      </c>
      <c r="C28" s="159"/>
      <c r="D28" s="160"/>
      <c r="E28" s="9">
        <v>0</v>
      </c>
      <c r="F28" s="14" t="s">
        <v>3</v>
      </c>
      <c r="G28" s="1"/>
    </row>
    <row r="29" spans="1:7" x14ac:dyDescent="0.25">
      <c r="A29" s="1"/>
      <c r="B29" s="119" t="s">
        <v>10</v>
      </c>
      <c r="C29" s="120"/>
      <c r="D29" s="121"/>
      <c r="E29" s="9">
        <f>-E28*'Fane 5. Individuelt eff. krav'!G9</f>
        <v>0</v>
      </c>
      <c r="F29" s="14" t="s">
        <v>3</v>
      </c>
      <c r="G29" s="1"/>
    </row>
    <row r="30" spans="1:7" x14ac:dyDescent="0.25">
      <c r="A30" s="1"/>
      <c r="B30" s="119" t="s">
        <v>24</v>
      </c>
      <c r="C30" s="120"/>
      <c r="D30" s="121"/>
      <c r="E30" s="9">
        <f>-E28*'Fane 15. Nøgletal'!C31</f>
        <v>0</v>
      </c>
      <c r="F30" s="14" t="s">
        <v>3</v>
      </c>
      <c r="G30" s="1"/>
    </row>
    <row r="31" spans="1:7" x14ac:dyDescent="0.25">
      <c r="A31" s="1"/>
      <c r="B31" s="125" t="s">
        <v>216</v>
      </c>
      <c r="C31" s="126"/>
      <c r="D31" s="127"/>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QtOh0QGOrylFRmLSASWvjuAzvO1dg9G6WuPVQWwcetgqN2HWlm/yObUl9exJX5v8j0UjCQ6eKwOCE9Ob7BhaSg==" saltValue="gZ+nfc+ZqZ5NmK2/NO1DKg=="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5"/>
  <sheetViews>
    <sheetView showGridLines="0" view="pageLayout" zoomScaleNormal="100" workbookViewId="0">
      <selection activeCell="B14" sqref="B14"/>
    </sheetView>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3" t="s">
        <v>261</v>
      </c>
      <c r="C3" s="133"/>
      <c r="D3" s="133"/>
      <c r="E3" s="133"/>
      <c r="F3" s="133"/>
      <c r="G3" s="1"/>
    </row>
    <row r="4" spans="1:7" ht="25.5" customHeight="1" x14ac:dyDescent="0.25">
      <c r="A4" s="1"/>
      <c r="B4" s="133"/>
      <c r="C4" s="133"/>
      <c r="D4" s="133"/>
      <c r="E4" s="133"/>
      <c r="F4" s="13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5" t="s">
        <v>132</v>
      </c>
      <c r="C8" s="126"/>
      <c r="D8" s="126"/>
      <c r="E8" s="126"/>
      <c r="F8" s="127"/>
      <c r="G8" s="1"/>
    </row>
    <row r="9" spans="1:7" ht="15" customHeight="1" x14ac:dyDescent="0.25">
      <c r="A9" s="1"/>
      <c r="B9" s="30" t="s">
        <v>133</v>
      </c>
      <c r="C9" s="30" t="s">
        <v>11</v>
      </c>
      <c r="D9" s="31"/>
      <c r="E9" s="30" t="s">
        <v>31</v>
      </c>
      <c r="F9" s="31"/>
      <c r="G9" s="1"/>
    </row>
    <row r="10" spans="1:7" ht="26.25" x14ac:dyDescent="0.25">
      <c r="A10" s="1"/>
      <c r="B10" s="164" t="s">
        <v>274</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218</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LgjVUSpLCuCvSjFf4qM9bBBzM7LKevpS2BI1SekwyVxpdnMU4+VTrgBFwC6r/jIbpPAdaKs5qCsfhq4cvvryOg==" saltValue="2wcoa3/cVDMR2OvjUENRdA=="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3" t="s">
        <v>262</v>
      </c>
      <c r="C3" s="133"/>
      <c r="D3" s="133"/>
      <c r="E3" s="133"/>
      <c r="F3" s="133"/>
      <c r="G3" s="1"/>
    </row>
    <row r="4" spans="1:7" ht="25.5" customHeight="1" x14ac:dyDescent="0.25">
      <c r="A4" s="1"/>
      <c r="B4" s="133"/>
      <c r="C4" s="133"/>
      <c r="D4" s="133"/>
      <c r="E4" s="133"/>
      <c r="F4" s="13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5" t="s">
        <v>93</v>
      </c>
      <c r="C9" s="126"/>
      <c r="D9" s="126"/>
      <c r="E9" s="126"/>
      <c r="F9" s="127"/>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236</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3"/>
      <c r="C15" s="163"/>
      <c r="D15" s="163"/>
      <c r="E15" s="163"/>
      <c r="F15" s="163"/>
      <c r="G15" s="1"/>
    </row>
    <row r="16" spans="1:7" x14ac:dyDescent="0.25">
      <c r="A16" s="1"/>
      <c r="B16" s="54"/>
      <c r="C16" s="54"/>
      <c r="D16" s="54"/>
      <c r="E16" s="54"/>
      <c r="F16" s="54"/>
      <c r="G16" s="1"/>
    </row>
    <row r="17" spans="1:7" x14ac:dyDescent="0.25">
      <c r="A17" s="1"/>
      <c r="B17" s="55"/>
      <c r="C17" s="58"/>
      <c r="D17" s="57"/>
      <c r="E17" s="58"/>
      <c r="F17" s="57"/>
      <c r="G17" s="1"/>
    </row>
    <row r="18" spans="1:7" x14ac:dyDescent="0.25">
      <c r="A18" s="1"/>
      <c r="B18" s="59"/>
      <c r="C18" s="60"/>
      <c r="D18" s="61"/>
      <c r="E18" s="60"/>
      <c r="F18" s="61"/>
      <c r="G18" s="1"/>
    </row>
    <row r="19" spans="1:7" x14ac:dyDescent="0.25">
      <c r="A19" s="1"/>
      <c r="B19" s="59"/>
      <c r="C19" s="60"/>
      <c r="D19" s="61"/>
      <c r="E19" s="60"/>
      <c r="F19" s="61"/>
      <c r="G19" s="1"/>
    </row>
    <row r="20" spans="1:7" x14ac:dyDescent="0.25">
      <c r="A20" s="1"/>
      <c r="B20" s="52"/>
      <c r="C20" s="52"/>
      <c r="D20" s="52"/>
      <c r="E20" s="52"/>
      <c r="F20" s="52"/>
      <c r="G20" s="1"/>
    </row>
    <row r="21" spans="1:7" x14ac:dyDescent="0.25">
      <c r="A21" s="1"/>
      <c r="B21" s="163"/>
      <c r="C21" s="163"/>
      <c r="D21" s="163"/>
      <c r="E21" s="163"/>
      <c r="F21" s="163"/>
      <c r="G21" s="1"/>
    </row>
    <row r="22" spans="1:7" x14ac:dyDescent="0.25">
      <c r="A22" s="1"/>
      <c r="B22" s="54"/>
      <c r="C22" s="54"/>
      <c r="D22" s="54"/>
      <c r="E22" s="54"/>
      <c r="F22" s="54"/>
      <c r="G22" s="1"/>
    </row>
    <row r="23" spans="1:7" x14ac:dyDescent="0.25">
      <c r="A23" s="1"/>
      <c r="B23" s="55"/>
      <c r="C23" s="58"/>
      <c r="D23" s="57"/>
      <c r="E23" s="58"/>
      <c r="F23" s="57"/>
      <c r="G23" s="1"/>
    </row>
    <row r="24" spans="1:7" x14ac:dyDescent="0.25">
      <c r="A24" s="1"/>
      <c r="B24" s="59"/>
      <c r="C24" s="60"/>
      <c r="D24" s="61"/>
      <c r="E24" s="60"/>
      <c r="F24" s="61"/>
      <c r="G24" s="1"/>
    </row>
    <row r="25" spans="1:7" x14ac:dyDescent="0.25">
      <c r="A25" s="1"/>
      <c r="B25" s="59"/>
      <c r="C25" s="60"/>
      <c r="D25" s="61"/>
      <c r="E25" s="60"/>
      <c r="F25" s="61"/>
      <c r="G25" s="1"/>
    </row>
    <row r="26" spans="1:7" x14ac:dyDescent="0.25">
      <c r="A26" s="1"/>
      <c r="B26" s="52"/>
      <c r="C26" s="52"/>
      <c r="D26" s="52"/>
      <c r="E26" s="52"/>
      <c r="F26" s="52"/>
      <c r="G26" s="1"/>
    </row>
    <row r="27" spans="1:7" x14ac:dyDescent="0.25">
      <c r="A27" s="1"/>
      <c r="B27" s="163"/>
      <c r="C27" s="163"/>
      <c r="D27" s="163"/>
      <c r="E27" s="163"/>
      <c r="F27" s="163"/>
      <c r="G27" s="1"/>
    </row>
    <row r="28" spans="1:7" x14ac:dyDescent="0.25">
      <c r="A28" s="1"/>
      <c r="B28" s="54"/>
      <c r="C28" s="54"/>
      <c r="D28" s="54"/>
      <c r="E28" s="54"/>
      <c r="F28" s="54"/>
      <c r="G28" s="1"/>
    </row>
    <row r="29" spans="1:7" x14ac:dyDescent="0.25">
      <c r="A29" s="1"/>
      <c r="B29" s="55"/>
      <c r="C29" s="58"/>
      <c r="D29" s="57"/>
      <c r="E29" s="58"/>
      <c r="F29" s="57"/>
      <c r="G29" s="1"/>
    </row>
    <row r="30" spans="1:7" x14ac:dyDescent="0.25">
      <c r="A30" s="1"/>
      <c r="B30" s="59"/>
      <c r="C30" s="60"/>
      <c r="D30" s="61"/>
      <c r="E30" s="60"/>
      <c r="F30" s="61"/>
      <c r="G30" s="1"/>
    </row>
    <row r="31" spans="1:7" x14ac:dyDescent="0.25">
      <c r="A31" s="1"/>
      <c r="B31" s="59"/>
      <c r="C31" s="60"/>
      <c r="D31" s="61"/>
      <c r="E31" s="60"/>
      <c r="F31" s="6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ztsQ/kO+wx1ckQzYDHz82dXkIgEohKW44F5V9QUuVj3DcWPWA21oinHsY/X+3yaF+S2oLts6WeroeTYPEilUxA==" saltValue="MbQb3JbvMdKJ0ovJaTiTOg=="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topLeftCell="A13" zoomScaleNormal="100" workbookViewId="0">
      <selection activeCell="C43" sqref="C43"/>
    </sheetView>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7" t="s">
        <v>182</v>
      </c>
      <c r="C3" s="117"/>
      <c r="D3" s="117"/>
      <c r="E3" s="1"/>
    </row>
    <row r="4" spans="1:5" ht="15" customHeight="1" x14ac:dyDescent="0.25">
      <c r="A4" s="1"/>
      <c r="B4" s="117"/>
      <c r="C4" s="117"/>
      <c r="D4" s="117"/>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114571010.10092722</v>
      </c>
      <c r="D9" s="8" t="s">
        <v>3</v>
      </c>
      <c r="E9" s="1"/>
    </row>
    <row r="10" spans="1:5" ht="17.25" customHeight="1" x14ac:dyDescent="0.25">
      <c r="A10" s="1"/>
      <c r="B10" s="76" t="s">
        <v>39</v>
      </c>
      <c r="C10" s="7">
        <f>'Fane 11.1. Varige tillæg'!C12</f>
        <v>0</v>
      </c>
      <c r="D10" s="8" t="s">
        <v>3</v>
      </c>
      <c r="E10" s="1"/>
    </row>
    <row r="11" spans="1:5" ht="17.25" customHeight="1" x14ac:dyDescent="0.25">
      <c r="A11" s="1"/>
      <c r="B11" s="76" t="s">
        <v>40</v>
      </c>
      <c r="C11" s="9">
        <f>'Fane 11.1. Varige tillæg'!E12</f>
        <v>0</v>
      </c>
      <c r="D11" s="8" t="s">
        <v>3</v>
      </c>
      <c r="E11" s="1"/>
    </row>
    <row r="12" spans="1:5" ht="17.25" customHeight="1" x14ac:dyDescent="0.25">
      <c r="A12" s="1"/>
      <c r="B12" s="76" t="s">
        <v>27</v>
      </c>
      <c r="C12" s="9">
        <f>-'Fane 14. Bortfald'!C13</f>
        <v>0</v>
      </c>
      <c r="D12" s="8" t="s">
        <v>3</v>
      </c>
      <c r="E12" s="1"/>
    </row>
    <row r="13" spans="1:5" ht="17.25" customHeight="1" x14ac:dyDescent="0.25">
      <c r="A13" s="1"/>
      <c r="B13" s="76" t="s">
        <v>26</v>
      </c>
      <c r="C13" s="9">
        <f>-'Fane 14. Bortfald'!E13</f>
        <v>0</v>
      </c>
      <c r="D13" s="8" t="s">
        <v>3</v>
      </c>
      <c r="E13" s="1"/>
    </row>
    <row r="14" spans="1:5" ht="17.25" customHeight="1" x14ac:dyDescent="0.25">
      <c r="A14" s="1"/>
      <c r="B14" s="76" t="s">
        <v>124</v>
      </c>
      <c r="C14" s="9">
        <f>'Fane 13. Tilknyttet virksomhed'!C12</f>
        <v>0</v>
      </c>
      <c r="D14" s="8" t="s">
        <v>3</v>
      </c>
      <c r="E14" s="1"/>
    </row>
    <row r="15" spans="1:5" ht="17.25" customHeight="1" x14ac:dyDescent="0.25">
      <c r="A15" s="1"/>
      <c r="B15" s="76" t="s">
        <v>125</v>
      </c>
      <c r="C15" s="9">
        <f>'Fane 13. Tilknyttet virksomhed'!E12</f>
        <v>0</v>
      </c>
      <c r="D15" s="8" t="s">
        <v>3</v>
      </c>
      <c r="E15" s="1"/>
    </row>
    <row r="16" spans="1:5" ht="17.25" customHeight="1" x14ac:dyDescent="0.25">
      <c r="A16" s="1"/>
      <c r="B16" s="76" t="s">
        <v>19</v>
      </c>
      <c r="C16" s="44">
        <f>SUM(C9)*'Fane 15. Nøgletal'!C14+SUM(C10:C15)*'Fane 15. Nøgletal'!C15</f>
        <v>378084.3333330598</v>
      </c>
      <c r="D16" s="8" t="s">
        <v>3</v>
      </c>
      <c r="E16" s="1"/>
    </row>
    <row r="17" spans="1:5" ht="17.25" customHeight="1" x14ac:dyDescent="0.25">
      <c r="A17" s="1"/>
      <c r="B17" s="76" t="s">
        <v>10</v>
      </c>
      <c r="C17" s="44">
        <f>-SUM(C9,C10:C16)*'Fane 5. Individuelt eff. krav'!G9</f>
        <v>-1025441.4913318892</v>
      </c>
      <c r="D17" s="8" t="s">
        <v>3</v>
      </c>
      <c r="E17" s="1"/>
    </row>
    <row r="18" spans="1:5" ht="17.25" customHeight="1" x14ac:dyDescent="0.25">
      <c r="A18" s="1"/>
      <c r="B18" s="76" t="s">
        <v>24</v>
      </c>
      <c r="C18" s="44">
        <f>-'Fane 4.1. Gen. krav - drift'!G45</f>
        <v>-1196139.9227658897</v>
      </c>
      <c r="D18" s="8" t="s">
        <v>3</v>
      </c>
      <c r="E18" s="1"/>
    </row>
    <row r="19" spans="1:5" ht="17.25" customHeight="1" x14ac:dyDescent="0.25">
      <c r="A19" s="1"/>
      <c r="B19" s="76" t="s">
        <v>25</v>
      </c>
      <c r="C19" s="44">
        <f>-'Fane 4.2. Gen. krav - anlæg'!G43</f>
        <v>-849025.79193563934</v>
      </c>
      <c r="D19" s="8" t="s">
        <v>3</v>
      </c>
      <c r="E19" s="47"/>
    </row>
    <row r="20" spans="1:5" ht="17.25" customHeight="1" x14ac:dyDescent="0.25">
      <c r="A20" s="1"/>
      <c r="B20" s="82" t="s">
        <v>21</v>
      </c>
      <c r="C20" s="10">
        <f>SUM(C9:C19)</f>
        <v>111878487.22822686</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omk.'!C16+'Fane 6. Ikke-påvirkelige omk.'!C20+'Fane 6. Ikke-påvirkelige omk.'!C28</f>
        <v>10087340.566907521</v>
      </c>
      <c r="D22" s="11" t="s">
        <v>3</v>
      </c>
      <c r="E22" s="1"/>
    </row>
    <row r="23" spans="1:5" ht="15" customHeight="1" x14ac:dyDescent="0.25">
      <c r="A23" s="1"/>
      <c r="B23" s="32" t="s">
        <v>86</v>
      </c>
      <c r="C23" s="27"/>
      <c r="D23" s="19"/>
      <c r="E23" s="1"/>
    </row>
    <row r="24" spans="1:5" ht="15" customHeight="1" x14ac:dyDescent="0.25">
      <c r="A24" s="1"/>
      <c r="B24" s="82" t="s">
        <v>86</v>
      </c>
      <c r="C24" s="10">
        <f>'Fane 12. Periodevise driftsomk.'!E13</f>
        <v>0</v>
      </c>
      <c r="D24" s="11" t="s">
        <v>3</v>
      </c>
      <c r="E24" s="1"/>
    </row>
    <row r="25" spans="1:5" ht="15" customHeight="1" x14ac:dyDescent="0.25">
      <c r="A25" s="1"/>
      <c r="B25" s="88" t="s">
        <v>85</v>
      </c>
      <c r="C25" s="45"/>
      <c r="D25" s="46"/>
      <c r="E25" s="1"/>
    </row>
    <row r="26" spans="1:5" ht="15" customHeight="1" x14ac:dyDescent="0.25">
      <c r="A26" s="1"/>
      <c r="B26" s="76" t="s">
        <v>233</v>
      </c>
      <c r="C26" s="68">
        <f>'Fane 11.2. Engangstillæg'!C12</f>
        <v>0</v>
      </c>
      <c r="D26" s="8" t="s">
        <v>3</v>
      </c>
      <c r="E26" s="1"/>
    </row>
    <row r="27" spans="1:5" ht="15" customHeight="1" x14ac:dyDescent="0.25">
      <c r="A27" s="1"/>
      <c r="B27" s="76" t="s">
        <v>82</v>
      </c>
      <c r="C27" s="68">
        <f>'Fane 11.2. Engangstillæg'!E12</f>
        <v>0</v>
      </c>
      <c r="D27" s="8" t="s">
        <v>3</v>
      </c>
      <c r="E27" s="1"/>
    </row>
    <row r="28" spans="1:5" ht="15" customHeight="1" x14ac:dyDescent="0.25">
      <c r="A28" s="1"/>
      <c r="B28" s="76" t="s">
        <v>240</v>
      </c>
      <c r="C28" s="68">
        <f>-C26*('Fane 15. Nøgletal'!C31+'Fane 5. Individuelt eff. krav'!G9)</f>
        <v>0</v>
      </c>
      <c r="D28" s="8" t="s">
        <v>3</v>
      </c>
      <c r="E28" s="1"/>
    </row>
    <row r="29" spans="1:5" ht="15" customHeight="1" x14ac:dyDescent="0.25">
      <c r="A29" s="1"/>
      <c r="B29" s="76" t="s">
        <v>241</v>
      </c>
      <c r="C29" s="68">
        <f>-C27*('Fane 15. Nøgletal'!C26+'Fane 5. Individuelt eff. krav'!G9)</f>
        <v>0</v>
      </c>
      <c r="D29" s="8" t="s">
        <v>3</v>
      </c>
      <c r="E29" s="1"/>
    </row>
    <row r="30" spans="1:5" ht="15" customHeight="1" x14ac:dyDescent="0.25">
      <c r="A30" s="1"/>
      <c r="B30" s="89" t="s">
        <v>87</v>
      </c>
      <c r="C30" s="10">
        <f>SUM(C26:C29)</f>
        <v>0</v>
      </c>
      <c r="D30" s="11" t="s">
        <v>3</v>
      </c>
      <c r="E30" s="1"/>
    </row>
    <row r="31" spans="1:5" x14ac:dyDescent="0.25">
      <c r="A31" s="1"/>
      <c r="B31" s="32" t="s">
        <v>143</v>
      </c>
      <c r="C31" s="27"/>
      <c r="D31" s="19"/>
      <c r="E31" s="1"/>
    </row>
    <row r="32" spans="1:5" x14ac:dyDescent="0.25">
      <c r="A32" s="1"/>
      <c r="B32" s="30" t="s">
        <v>181</v>
      </c>
      <c r="C32" s="10">
        <f>'Fane 7. Kontrol af ØR2021'!E28</f>
        <v>-5499702</v>
      </c>
      <c r="D32" s="11" t="s">
        <v>3</v>
      </c>
      <c r="E32" s="1"/>
    </row>
    <row r="33" spans="1:5" ht="15" customHeight="1" x14ac:dyDescent="0.25">
      <c r="A33" s="1"/>
      <c r="B33" s="32" t="s">
        <v>186</v>
      </c>
      <c r="C33" s="27"/>
      <c r="D33" s="19"/>
      <c r="E33" s="1"/>
    </row>
    <row r="34" spans="1:5" x14ac:dyDescent="0.25">
      <c r="A34" s="1"/>
      <c r="B34" s="30" t="s">
        <v>186</v>
      </c>
      <c r="C34" s="10">
        <f>'Fane 9. Korrektion af ØR2021'!E17</f>
        <v>0</v>
      </c>
      <c r="D34" s="11" t="s">
        <v>3</v>
      </c>
      <c r="E34" s="1"/>
    </row>
    <row r="35" spans="1:5" x14ac:dyDescent="0.25">
      <c r="A35" s="1"/>
      <c r="B35" s="29" t="s">
        <v>175</v>
      </c>
      <c r="C35" s="27"/>
      <c r="D35" s="19"/>
      <c r="E35" s="1"/>
    </row>
    <row r="36" spans="1:5" x14ac:dyDescent="0.25">
      <c r="A36" s="1"/>
      <c r="B36" s="89" t="s">
        <v>176</v>
      </c>
      <c r="C36" s="10">
        <f>'Fane 8. Skattesagen'!G12</f>
        <v>0</v>
      </c>
      <c r="D36" s="11" t="s">
        <v>3</v>
      </c>
      <c r="E36" s="1"/>
    </row>
    <row r="37" spans="1:5" x14ac:dyDescent="0.25">
      <c r="A37" s="1"/>
      <c r="B37" s="29" t="s">
        <v>289</v>
      </c>
      <c r="C37" s="27"/>
      <c r="D37" s="19"/>
      <c r="E37" s="1"/>
    </row>
    <row r="38" spans="1:5" x14ac:dyDescent="0.25">
      <c r="A38" s="1"/>
      <c r="B38" s="92" t="s">
        <v>290</v>
      </c>
      <c r="C38" s="10">
        <v>3988261.2091117995</v>
      </c>
      <c r="D38" s="11" t="s">
        <v>3</v>
      </c>
      <c r="E38" s="1"/>
    </row>
    <row r="39" spans="1:5" x14ac:dyDescent="0.25">
      <c r="A39" s="1"/>
      <c r="B39" s="32" t="s">
        <v>90</v>
      </c>
      <c r="C39" s="50">
        <f>SUM(C34,C32,C24,C30,C22,C20,C36,C38)</f>
        <v>120454387.00424618</v>
      </c>
      <c r="D39" s="29"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usm/bh6Ap4ms+ou+f1u7DtJf8UQPTNjMYwj+gotgKtcgN09HM2JnSQBVxuXno5m818O2jCqUB8rw7B4ZJKCbtg==" saltValue="dq/zYXdPKBXUSWV5Wa1se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tabSelected="1"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33" t="s">
        <v>263</v>
      </c>
      <c r="C3" s="133"/>
      <c r="D3" s="1"/>
    </row>
    <row r="4" spans="1:4" ht="25.5" customHeight="1" x14ac:dyDescent="0.25">
      <c r="A4" s="1"/>
      <c r="B4" s="133"/>
      <c r="C4" s="13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87" t="s">
        <v>112</v>
      </c>
      <c r="C9" s="24">
        <v>1.2699999999999999E-2</v>
      </c>
      <c r="D9" s="1"/>
    </row>
    <row r="10" spans="1:4" x14ac:dyDescent="0.25">
      <c r="A10" s="1"/>
      <c r="B10" s="87" t="s">
        <v>113</v>
      </c>
      <c r="C10" s="24">
        <v>1.7500000000000002E-2</v>
      </c>
      <c r="D10" s="1"/>
    </row>
    <row r="11" spans="1:4" x14ac:dyDescent="0.25">
      <c r="A11" s="1"/>
      <c r="B11" s="87"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87" t="s">
        <v>171</v>
      </c>
      <c r="C14" s="42">
        <v>3.3E-3</v>
      </c>
      <c r="D14" s="1"/>
    </row>
    <row r="15" spans="1:4" x14ac:dyDescent="0.25">
      <c r="A15" s="1"/>
      <c r="B15" s="33" t="s">
        <v>225</v>
      </c>
      <c r="C15" s="63">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87" t="s">
        <v>114</v>
      </c>
      <c r="C20" s="22">
        <v>9.1000000000000004E-3</v>
      </c>
      <c r="D20" s="1"/>
    </row>
    <row r="21" spans="1:4" x14ac:dyDescent="0.25">
      <c r="A21" s="1"/>
      <c r="B21" s="87" t="s">
        <v>145</v>
      </c>
      <c r="C21" s="22">
        <v>1.77E-2</v>
      </c>
      <c r="D21" s="1"/>
    </row>
    <row r="22" spans="1:4" x14ac:dyDescent="0.25">
      <c r="A22" s="1"/>
      <c r="B22" s="87" t="s">
        <v>146</v>
      </c>
      <c r="C22" s="22">
        <v>8.6999999999999994E-3</v>
      </c>
      <c r="D22" s="1"/>
    </row>
    <row r="23" spans="1:4" x14ac:dyDescent="0.25">
      <c r="A23" s="1"/>
      <c r="B23" s="87" t="s">
        <v>115</v>
      </c>
      <c r="C23" s="35">
        <v>2.8400000000000002E-2</v>
      </c>
      <c r="D23" s="1"/>
    </row>
    <row r="24" spans="1:4" x14ac:dyDescent="0.25">
      <c r="A24" s="1"/>
      <c r="B24" s="87" t="s">
        <v>147</v>
      </c>
      <c r="C24" s="35">
        <v>2.75E-2</v>
      </c>
      <c r="D24" s="1"/>
    </row>
    <row r="25" spans="1:4" x14ac:dyDescent="0.25">
      <c r="A25" s="1"/>
      <c r="B25" s="87" t="s">
        <v>148</v>
      </c>
      <c r="C25" s="35">
        <v>1.4800000000000001E-2</v>
      </c>
      <c r="D25" s="1"/>
    </row>
    <row r="26" spans="1:4" x14ac:dyDescent="0.25">
      <c r="A26" s="1"/>
      <c r="B26" s="33" t="s">
        <v>217</v>
      </c>
      <c r="C26" s="64">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87"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pwiaBbKi0GHcTE6rf9Cr4KIvwIiUh7Fj/NJS/WCbltKhn7qh1gbIgOFXl66TP0CBOxpEAXAR6DeoM+08a7Mrww==" saltValue="FCw4SkkNdy2E3rY8piKd3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5"/>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7" t="s">
        <v>187</v>
      </c>
      <c r="C3" s="117"/>
      <c r="D3" s="117"/>
      <c r="E3" s="1"/>
    </row>
    <row r="4" spans="1:5" ht="15" customHeight="1" x14ac:dyDescent="0.25">
      <c r="A4" s="1"/>
      <c r="B4" s="117"/>
      <c r="C4" s="117"/>
      <c r="D4" s="117"/>
      <c r="E4" s="1"/>
    </row>
    <row r="5" spans="1:5" x14ac:dyDescent="0.25">
      <c r="A5" s="1"/>
      <c r="B5" s="118" t="s">
        <v>22</v>
      </c>
      <c r="C5" s="118"/>
      <c r="D5" s="118"/>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111878487.22822686</v>
      </c>
      <c r="D9" s="8" t="s">
        <v>3</v>
      </c>
      <c r="E9" s="1"/>
    </row>
    <row r="10" spans="1:5" ht="15" customHeight="1" x14ac:dyDescent="0.25">
      <c r="A10" s="1"/>
      <c r="B10" s="25" t="s">
        <v>19</v>
      </c>
      <c r="C10" s="7">
        <f>SUM(C9:C9)*'Fane 15. Nøgletal'!C15</f>
        <v>3982874.1453248761</v>
      </c>
      <c r="D10" s="8" t="s">
        <v>3</v>
      </c>
      <c r="E10" s="1"/>
    </row>
    <row r="11" spans="1:5" ht="15" customHeight="1" x14ac:dyDescent="0.25">
      <c r="A11" s="1"/>
      <c r="B11" s="25" t="s">
        <v>10</v>
      </c>
      <c r="C11" s="9">
        <f>-SUM(C9:C10)*'Fane 5. Individuelt eff. krav'!G9</f>
        <v>-1033579.6708914924</v>
      </c>
      <c r="D11" s="8" t="s">
        <v>3</v>
      </c>
      <c r="E11" s="1"/>
    </row>
    <row r="12" spans="1:5" ht="15" customHeight="1" x14ac:dyDescent="0.25">
      <c r="A12" s="1"/>
      <c r="B12" s="25" t="s">
        <v>24</v>
      </c>
      <c r="C12" s="9">
        <f>-'Fane 4.1. Gen. krav - drift'!G53</f>
        <v>-1213948.0539360284</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113613833.6487242</v>
      </c>
      <c r="D14" s="11" t="s">
        <v>3</v>
      </c>
      <c r="E14" s="1"/>
    </row>
    <row r="15" spans="1:5" x14ac:dyDescent="0.25">
      <c r="A15" s="1"/>
      <c r="B15" s="32" t="s">
        <v>12</v>
      </c>
      <c r="C15" s="27"/>
      <c r="D15" s="19"/>
      <c r="E15" s="1"/>
    </row>
    <row r="16" spans="1:5" ht="15" customHeight="1" x14ac:dyDescent="0.25">
      <c r="A16" s="1"/>
      <c r="B16" s="30" t="s">
        <v>12</v>
      </c>
      <c r="C16" s="10">
        <f>'Fane 6. Ikke-påvirkelige omk.'!C16*(1+'Fane 15. Nøgletal'!C15)+'Fane 6. Ikke-påvirkelige omk.'!C26+'Fane 6. Ikke-påvirkelige omk.'!C34</f>
        <v>10446449.89108943</v>
      </c>
      <c r="D16" s="11" t="s">
        <v>3</v>
      </c>
      <c r="E16" s="1"/>
    </row>
    <row r="17" spans="1:5" ht="15" customHeight="1" x14ac:dyDescent="0.25">
      <c r="A17" s="1"/>
      <c r="B17" s="32" t="s">
        <v>86</v>
      </c>
      <c r="C17" s="27"/>
      <c r="D17" s="19"/>
      <c r="E17" s="1"/>
    </row>
    <row r="18" spans="1:5" ht="15" customHeight="1" x14ac:dyDescent="0.25">
      <c r="A18" s="1"/>
      <c r="B18" s="82" t="s">
        <v>86</v>
      </c>
      <c r="C18" s="10">
        <f>'Fane 12. Periodevise driftsomk.'!E19</f>
        <v>0</v>
      </c>
      <c r="D18" s="11" t="s">
        <v>3</v>
      </c>
      <c r="E18" s="1"/>
    </row>
    <row r="19" spans="1:5" x14ac:dyDescent="0.25">
      <c r="A19" s="1"/>
      <c r="B19" s="32" t="s">
        <v>143</v>
      </c>
      <c r="C19" s="27"/>
      <c r="D19" s="19"/>
      <c r="E19" s="1"/>
    </row>
    <row r="20" spans="1:5" ht="15" customHeight="1" x14ac:dyDescent="0.25">
      <c r="A20" s="1"/>
      <c r="B20" s="30" t="s">
        <v>181</v>
      </c>
      <c r="C20" s="10">
        <f>'Fane 7. Kontrol af ØR2021'!E34</f>
        <v>-666643.262516357</v>
      </c>
      <c r="D20" s="11" t="s">
        <v>3</v>
      </c>
      <c r="E20" s="1"/>
    </row>
    <row r="21" spans="1:5" x14ac:dyDescent="0.25">
      <c r="A21" s="1"/>
      <c r="B21" s="29" t="s">
        <v>175</v>
      </c>
      <c r="C21" s="27"/>
      <c r="D21" s="19"/>
      <c r="E21" s="1"/>
    </row>
    <row r="22" spans="1:5" x14ac:dyDescent="0.25">
      <c r="A22" s="1"/>
      <c r="B22" s="89" t="s">
        <v>176</v>
      </c>
      <c r="C22" s="10">
        <f>'Fane 8. Skattesagen'!G13</f>
        <v>0</v>
      </c>
      <c r="D22" s="11" t="s">
        <v>3</v>
      </c>
      <c r="E22" s="1"/>
    </row>
    <row r="23" spans="1:5" x14ac:dyDescent="0.25">
      <c r="A23" s="1"/>
      <c r="B23" s="32" t="s">
        <v>128</v>
      </c>
      <c r="C23" s="12">
        <f>SUM(C14,C16,C18,C20,C22)</f>
        <v>123393640.27729726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TCfwURDJ4w5LF5oyRcwoRwzdkuQGQEaHSavTlR0MumApUKm3P4FjMePe+W3MzuEwZGpD3q1M9fHqHxM7E4/3Eg==" saltValue="jdhXMEZcW/g/5VZ6iwq9+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7" t="s">
        <v>188</v>
      </c>
      <c r="C3" s="117"/>
      <c r="D3" s="117"/>
      <c r="E3" s="1"/>
    </row>
    <row r="4" spans="1:5" ht="15" customHeight="1" x14ac:dyDescent="0.25">
      <c r="A4" s="1"/>
      <c r="B4" s="117"/>
      <c r="C4" s="117"/>
      <c r="D4" s="117"/>
      <c r="E4" s="1"/>
    </row>
    <row r="5" spans="1:5" x14ac:dyDescent="0.25">
      <c r="A5" s="1"/>
      <c r="B5" s="118" t="s">
        <v>22</v>
      </c>
      <c r="C5" s="118"/>
      <c r="D5" s="118"/>
      <c r="E5" s="1"/>
    </row>
    <row r="6" spans="1:5" x14ac:dyDescent="0.25">
      <c r="A6" s="1"/>
      <c r="B6" s="74"/>
      <c r="C6" s="74"/>
      <c r="D6" s="74"/>
      <c r="E6" s="1"/>
    </row>
    <row r="7" spans="1:5" x14ac:dyDescent="0.25">
      <c r="A7" s="1"/>
      <c r="B7" s="1"/>
      <c r="C7" s="1"/>
      <c r="D7" s="1"/>
      <c r="E7" s="1"/>
    </row>
    <row r="8" spans="1:5" x14ac:dyDescent="0.25">
      <c r="A8" s="1"/>
      <c r="B8" s="32" t="s">
        <v>13</v>
      </c>
      <c r="C8" s="27"/>
      <c r="D8" s="19"/>
      <c r="E8" s="1"/>
    </row>
    <row r="9" spans="1:5" ht="15" customHeight="1" x14ac:dyDescent="0.25">
      <c r="A9" s="1"/>
      <c r="B9" s="28" t="s">
        <v>235</v>
      </c>
      <c r="C9" s="7">
        <f>'Fane 2.2. Økonomisk ramme 2024'!C14</f>
        <v>113613833.6487242</v>
      </c>
      <c r="D9" s="8" t="s">
        <v>3</v>
      </c>
      <c r="E9" s="1"/>
    </row>
    <row r="10" spans="1:5" ht="15" customHeight="1" x14ac:dyDescent="0.25">
      <c r="A10" s="1"/>
      <c r="B10" s="25" t="s">
        <v>19</v>
      </c>
      <c r="C10" s="7">
        <f>SUM(C9:C9)*'Fane 15. Nøgletal'!C15</f>
        <v>4044652.4778945814</v>
      </c>
      <c r="D10" s="8" t="s">
        <v>3</v>
      </c>
      <c r="E10" s="1"/>
    </row>
    <row r="11" spans="1:5" ht="15" customHeight="1" x14ac:dyDescent="0.25">
      <c r="A11" s="1"/>
      <c r="B11" s="25" t="s">
        <v>10</v>
      </c>
      <c r="C11" s="9">
        <f>-SUM(C9:C10)*'Fane 5. Individuelt eff. krav'!G9</f>
        <v>-1049611.5178230787</v>
      </c>
      <c r="D11" s="8" t="s">
        <v>3</v>
      </c>
      <c r="E11" s="1"/>
    </row>
    <row r="12" spans="1:5" ht="15" customHeight="1" x14ac:dyDescent="0.25">
      <c r="A12" s="1"/>
      <c r="B12" s="25" t="s">
        <v>24</v>
      </c>
      <c r="C12" s="9">
        <f>-'Fane 4.1. Gen. krav - drift'!G58</f>
        <v>-1232021.312563028</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115376853.29623266</v>
      </c>
      <c r="D14" s="11" t="s">
        <v>3</v>
      </c>
      <c r="E14" s="1"/>
    </row>
    <row r="15" spans="1:5" x14ac:dyDescent="0.25">
      <c r="A15" s="1"/>
      <c r="B15" s="32" t="s">
        <v>12</v>
      </c>
      <c r="C15" s="27"/>
      <c r="D15" s="19"/>
      <c r="E15" s="1"/>
    </row>
    <row r="16" spans="1:5" ht="15" customHeight="1" x14ac:dyDescent="0.25">
      <c r="A16" s="1"/>
      <c r="B16" s="30" t="s">
        <v>12</v>
      </c>
      <c r="C16" s="10">
        <f>'Fane 6. Ikke-påvirkelige omk.'!C16*(1+'Fane 15. Nøgletal'!C15)^2+'Fane 6. Ikke-påvirkelige omk.'!C22+'Fane 6. Ikke-påvirkelige omk.'!C30</f>
        <v>10818343.507212214</v>
      </c>
      <c r="D16" s="11" t="s">
        <v>3</v>
      </c>
      <c r="E16" s="1"/>
    </row>
    <row r="17" spans="1:5" ht="15" customHeight="1" x14ac:dyDescent="0.25">
      <c r="A17" s="1"/>
      <c r="B17" s="32" t="s">
        <v>86</v>
      </c>
      <c r="C17" s="27"/>
      <c r="D17" s="19"/>
      <c r="E17" s="1"/>
    </row>
    <row r="18" spans="1:5" ht="15" customHeight="1" x14ac:dyDescent="0.25">
      <c r="A18" s="1"/>
      <c r="B18" s="82" t="s">
        <v>86</v>
      </c>
      <c r="C18" s="10">
        <f>'Fane 12. Periodevise driftsomk.'!E25</f>
        <v>0</v>
      </c>
      <c r="D18" s="11" t="s">
        <v>3</v>
      </c>
      <c r="E18" s="1"/>
    </row>
    <row r="19" spans="1:5" ht="15" customHeight="1" x14ac:dyDescent="0.25">
      <c r="A19" s="1"/>
      <c r="B19" s="32" t="s">
        <v>143</v>
      </c>
      <c r="C19" s="27"/>
      <c r="D19" s="19"/>
      <c r="E19" s="1"/>
    </row>
    <row r="20" spans="1:5" ht="15" customHeight="1" x14ac:dyDescent="0.25">
      <c r="A20" s="1"/>
      <c r="B20" s="30" t="s">
        <v>181</v>
      </c>
      <c r="C20" s="10">
        <f>'Fane 7. Kontrol af ØR2021'!E34</f>
        <v>-666643.262516357</v>
      </c>
      <c r="D20" s="11" t="s">
        <v>3</v>
      </c>
      <c r="E20" s="1"/>
    </row>
    <row r="21" spans="1:5" x14ac:dyDescent="0.25">
      <c r="A21" s="1"/>
      <c r="B21" s="29" t="s">
        <v>175</v>
      </c>
      <c r="C21" s="27"/>
      <c r="D21" s="19"/>
      <c r="E21" s="1"/>
    </row>
    <row r="22" spans="1:5" x14ac:dyDescent="0.25">
      <c r="A22" s="1"/>
      <c r="B22" s="89" t="s">
        <v>176</v>
      </c>
      <c r="C22" s="10">
        <f>'Fane 8. Skattesagen'!G14</f>
        <v>0</v>
      </c>
      <c r="D22" s="11" t="s">
        <v>3</v>
      </c>
      <c r="E22" s="1"/>
    </row>
    <row r="23" spans="1:5" x14ac:dyDescent="0.25">
      <c r="A23" s="1"/>
      <c r="B23" s="32" t="s">
        <v>149</v>
      </c>
      <c r="C23" s="12">
        <f>SUM(C14,C16,C18,C20,C22)</f>
        <v>125528553.54092851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OHtIT9xWhzM30a40747SEYG+6KtoXtg0o8wd6NdVPtXat8SZ+IzM7Tw94rIzwqFGT+GDiCz8n06EwpEdchCMyA==" saltValue="yp5sjO5pZXn76dAP/GOuY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7" t="s">
        <v>189</v>
      </c>
      <c r="C3" s="117"/>
      <c r="D3" s="117"/>
      <c r="E3" s="1"/>
    </row>
    <row r="4" spans="1:5" ht="15" customHeight="1" x14ac:dyDescent="0.25">
      <c r="A4" s="1"/>
      <c r="B4" s="117"/>
      <c r="C4" s="117"/>
      <c r="D4" s="117"/>
      <c r="E4" s="1"/>
    </row>
    <row r="5" spans="1:5" x14ac:dyDescent="0.25">
      <c r="A5" s="1"/>
      <c r="B5" s="118" t="s">
        <v>22</v>
      </c>
      <c r="C5" s="118"/>
      <c r="D5" s="118"/>
      <c r="E5" s="1"/>
    </row>
    <row r="6" spans="1:5" x14ac:dyDescent="0.25">
      <c r="A6" s="1"/>
      <c r="B6" s="74"/>
      <c r="C6" s="74"/>
      <c r="D6" s="74"/>
      <c r="E6" s="1"/>
    </row>
    <row r="7" spans="1:5" x14ac:dyDescent="0.25">
      <c r="A7" s="1"/>
      <c r="B7" s="1"/>
      <c r="C7" s="1"/>
      <c r="D7" s="1"/>
      <c r="E7" s="1"/>
    </row>
    <row r="8" spans="1:5" x14ac:dyDescent="0.25">
      <c r="A8" s="1"/>
      <c r="B8" s="32" t="s">
        <v>13</v>
      </c>
      <c r="C8" s="27"/>
      <c r="D8" s="19"/>
      <c r="E8" s="1"/>
    </row>
    <row r="9" spans="1:5" ht="15" customHeight="1" x14ac:dyDescent="0.25">
      <c r="A9" s="1"/>
      <c r="B9" s="28" t="s">
        <v>190</v>
      </c>
      <c r="C9" s="7">
        <f>'Fane 2.3. Økonomisk ramme 2025'!C14</f>
        <v>115376853.29623266</v>
      </c>
      <c r="D9" s="8" t="s">
        <v>3</v>
      </c>
      <c r="E9" s="1"/>
    </row>
    <row r="10" spans="1:5" ht="15" customHeight="1" x14ac:dyDescent="0.25">
      <c r="A10" s="1"/>
      <c r="B10" s="25" t="s">
        <v>19</v>
      </c>
      <c r="C10" s="7">
        <f>SUM(C9:C9)*'Fane 15. Nøgletal'!C15</f>
        <v>4107415.9773458824</v>
      </c>
      <c r="D10" s="8" t="s">
        <v>3</v>
      </c>
      <c r="E10" s="1"/>
    </row>
    <row r="11" spans="1:5" ht="15" customHeight="1" x14ac:dyDescent="0.25">
      <c r="A11" s="1"/>
      <c r="B11" s="25" t="s">
        <v>10</v>
      </c>
      <c r="C11" s="9">
        <f>-SUM(C9:C10)*'Fane 5. Individuelt eff. krav'!G9</f>
        <v>-1065899.0214548521</v>
      </c>
      <c r="D11" s="8" t="s">
        <v>3</v>
      </c>
      <c r="E11" s="1"/>
    </row>
    <row r="12" spans="1:5" ht="15" customHeight="1" x14ac:dyDescent="0.25">
      <c r="A12" s="1"/>
      <c r="B12" s="25" t="s">
        <v>24</v>
      </c>
      <c r="C12" s="9">
        <f>-'Fane 4.1. Gen. krav - drift'!G63</f>
        <v>-1250363.6458644667</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117168006.60625921</v>
      </c>
      <c r="D14" s="11" t="s">
        <v>3</v>
      </c>
      <c r="E14" s="1"/>
    </row>
    <row r="15" spans="1:5" x14ac:dyDescent="0.25">
      <c r="A15" s="1"/>
      <c r="B15" s="32" t="s">
        <v>12</v>
      </c>
      <c r="C15" s="27"/>
      <c r="D15" s="19"/>
      <c r="E15" s="1"/>
    </row>
    <row r="16" spans="1:5" ht="15" customHeight="1" x14ac:dyDescent="0.25">
      <c r="A16" s="1"/>
      <c r="B16" s="30" t="s">
        <v>12</v>
      </c>
      <c r="C16" s="10">
        <f>'Fane 6. Ikke-påvirkelige omk.'!C16*(1+'Fane 15. Nøgletal'!C15)^3+'Fane 6. Ikke-påvirkelige omk.'!C23+'Fane 6. Ikke-påvirkelige omk.'!C31</f>
        <v>11203476.53606897</v>
      </c>
      <c r="D16" s="11" t="s">
        <v>3</v>
      </c>
      <c r="E16" s="1"/>
    </row>
    <row r="17" spans="1:5" ht="15" customHeight="1" x14ac:dyDescent="0.25">
      <c r="A17" s="1"/>
      <c r="B17" s="32" t="s">
        <v>86</v>
      </c>
      <c r="C17" s="27"/>
      <c r="D17" s="19"/>
      <c r="E17" s="1"/>
    </row>
    <row r="18" spans="1:5" ht="15" customHeight="1" x14ac:dyDescent="0.25">
      <c r="A18" s="1"/>
      <c r="B18" s="82"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181</v>
      </c>
      <c r="C20" s="10">
        <f>'Fane 7. Kontrol af ØR2021'!E34</f>
        <v>-666643.262516357</v>
      </c>
      <c r="D20" s="11" t="s">
        <v>3</v>
      </c>
      <c r="E20" s="1"/>
    </row>
    <row r="21" spans="1:5" x14ac:dyDescent="0.25">
      <c r="A21" s="1"/>
      <c r="B21" s="29" t="s">
        <v>175</v>
      </c>
      <c r="C21" s="27"/>
      <c r="D21" s="19"/>
      <c r="E21" s="1"/>
    </row>
    <row r="22" spans="1:5" x14ac:dyDescent="0.25">
      <c r="A22" s="1"/>
      <c r="B22" s="89" t="s">
        <v>176</v>
      </c>
      <c r="C22" s="10">
        <f>'Fane 8. Skattesagen'!G15</f>
        <v>0</v>
      </c>
      <c r="D22" s="11" t="s">
        <v>3</v>
      </c>
      <c r="E22" s="1"/>
    </row>
    <row r="23" spans="1:5" x14ac:dyDescent="0.25">
      <c r="A23" s="1"/>
      <c r="B23" s="32" t="s">
        <v>191</v>
      </c>
      <c r="C23" s="12">
        <f>SUM(C14,C16,C18,C20,C22)</f>
        <v>127704839.87981182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g42ZeYA1q4Yda95oN2ZpwamZh/SQ75eqeZSWhUtk6g6ML1Xpe/GMd7Uz2MRnN+KV+4TEyt/jxf88hrI7qHyZlQ==" saltValue="9cGgDa/GPZ7SoHtHmqf4r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52"/>
  <sheetViews>
    <sheetView showGridLines="0" view="pageLayout" topLeftCell="A4" zoomScale="99" zoomScaleNormal="100" zoomScalePageLayoutView="99" workbookViewId="0">
      <selection activeCell="B38" sqref="B38"/>
    </sheetView>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3" t="s">
        <v>192</v>
      </c>
      <c r="C3" s="133"/>
      <c r="D3" s="133"/>
      <c r="E3" s="133"/>
      <c r="F3" s="133"/>
      <c r="G3" s="1"/>
    </row>
    <row r="4" spans="1:7" ht="29.25" customHeight="1" x14ac:dyDescent="0.25">
      <c r="A4" s="1"/>
      <c r="B4" s="133"/>
      <c r="C4" s="133"/>
      <c r="D4" s="133"/>
      <c r="E4" s="133"/>
      <c r="F4" s="13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219</v>
      </c>
      <c r="C8" s="27"/>
      <c r="D8" s="27"/>
      <c r="E8" s="27"/>
      <c r="F8" s="19"/>
      <c r="G8" s="1"/>
    </row>
    <row r="9" spans="1:7" ht="15" customHeight="1" x14ac:dyDescent="0.25">
      <c r="A9" s="1"/>
      <c r="B9" s="128" t="s">
        <v>193</v>
      </c>
      <c r="C9" s="129"/>
      <c r="D9" s="130"/>
      <c r="E9" s="7">
        <v>117309321.44678652</v>
      </c>
      <c r="F9" s="8" t="s">
        <v>3</v>
      </c>
      <c r="G9" s="1"/>
    </row>
    <row r="10" spans="1:7" ht="15" customHeight="1" x14ac:dyDescent="0.25">
      <c r="A10" s="1"/>
      <c r="B10" s="119" t="s">
        <v>39</v>
      </c>
      <c r="C10" s="120"/>
      <c r="D10" s="121"/>
      <c r="E10" s="7">
        <v>0</v>
      </c>
      <c r="F10" s="8" t="s">
        <v>3</v>
      </c>
      <c r="G10" s="1"/>
    </row>
    <row r="11" spans="1:7" ht="15" customHeight="1" x14ac:dyDescent="0.25">
      <c r="A11" s="1"/>
      <c r="B11" s="119" t="s">
        <v>40</v>
      </c>
      <c r="C11" s="120"/>
      <c r="D11" s="121"/>
      <c r="E11" s="9">
        <v>0</v>
      </c>
      <c r="F11" s="8" t="s">
        <v>3</v>
      </c>
      <c r="G11" s="1"/>
    </row>
    <row r="12" spans="1:7" ht="15" customHeight="1" x14ac:dyDescent="0.25">
      <c r="A12" s="1"/>
      <c r="B12" s="119" t="s">
        <v>27</v>
      </c>
      <c r="C12" s="120"/>
      <c r="D12" s="121"/>
      <c r="E12" s="9">
        <v>0</v>
      </c>
      <c r="F12" s="8" t="s">
        <v>3</v>
      </c>
      <c r="G12" s="1"/>
    </row>
    <row r="13" spans="1:7" ht="15" customHeight="1" x14ac:dyDescent="0.25">
      <c r="A13" s="1"/>
      <c r="B13" s="128" t="s">
        <v>26</v>
      </c>
      <c r="C13" s="129"/>
      <c r="D13" s="130"/>
      <c r="E13" s="9">
        <v>0</v>
      </c>
      <c r="F13" s="8" t="s">
        <v>3</v>
      </c>
      <c r="G13" s="1"/>
    </row>
    <row r="14" spans="1:7" ht="15" customHeight="1" x14ac:dyDescent="0.25">
      <c r="A14" s="1"/>
      <c r="B14" s="128" t="s">
        <v>29</v>
      </c>
      <c r="C14" s="129"/>
      <c r="D14" s="130"/>
      <c r="E14" s="9">
        <v>0</v>
      </c>
      <c r="F14" s="8" t="s">
        <v>3</v>
      </c>
      <c r="G14" s="1"/>
    </row>
    <row r="15" spans="1:7" ht="15" customHeight="1" x14ac:dyDescent="0.25">
      <c r="A15" s="1"/>
      <c r="B15" s="128" t="s">
        <v>28</v>
      </c>
      <c r="C15" s="129"/>
      <c r="D15" s="130"/>
      <c r="E15" s="9">
        <v>0</v>
      </c>
      <c r="F15" s="8" t="s">
        <v>3</v>
      </c>
      <c r="G15" s="1"/>
    </row>
    <row r="16" spans="1:7" ht="15" customHeight="1" x14ac:dyDescent="0.25">
      <c r="A16" s="1"/>
      <c r="B16" s="128" t="s">
        <v>19</v>
      </c>
      <c r="C16" s="129"/>
      <c r="D16" s="130"/>
      <c r="E16" s="9">
        <f>SUM(E9:E15)*'Fane 15. Nøgletal'!C14</f>
        <v>387120.76077439555</v>
      </c>
      <c r="F16" s="8" t="s">
        <v>3</v>
      </c>
      <c r="G16" s="1"/>
    </row>
    <row r="17" spans="1:7" ht="15" customHeight="1" x14ac:dyDescent="0.25">
      <c r="A17" s="1"/>
      <c r="B17" s="128" t="s">
        <v>10</v>
      </c>
      <c r="C17" s="129"/>
      <c r="D17" s="130"/>
      <c r="E17" s="9">
        <v>-1049950.1176218677</v>
      </c>
      <c r="F17" s="8" t="s">
        <v>3</v>
      </c>
      <c r="G17" s="1"/>
    </row>
    <row r="18" spans="1:7" ht="15" customHeight="1" x14ac:dyDescent="0.25">
      <c r="A18" s="1"/>
      <c r="B18" s="128" t="s">
        <v>24</v>
      </c>
      <c r="C18" s="129"/>
      <c r="D18" s="130"/>
      <c r="E18" s="9">
        <f>-'Fane 4.1. Gen. krav - drift'!G39</f>
        <v>-1216536.37157166</v>
      </c>
      <c r="F18" s="8" t="s">
        <v>3</v>
      </c>
      <c r="G18" s="1"/>
    </row>
    <row r="19" spans="1:7" ht="15" customHeight="1" x14ac:dyDescent="0.25">
      <c r="A19" s="1"/>
      <c r="B19" s="128" t="s">
        <v>25</v>
      </c>
      <c r="C19" s="129"/>
      <c r="D19" s="130"/>
      <c r="E19" s="9">
        <f>-'Fane 4.2. Gen. krav - anlæg'!G37</f>
        <v>-858945.61744015687</v>
      </c>
      <c r="F19" s="8" t="s">
        <v>3</v>
      </c>
      <c r="G19" s="1"/>
    </row>
    <row r="20" spans="1:7" ht="15" customHeight="1" x14ac:dyDescent="0.25">
      <c r="A20" s="1"/>
      <c r="B20" s="93" t="s">
        <v>21</v>
      </c>
      <c r="C20" s="94"/>
      <c r="D20" s="95"/>
      <c r="E20" s="10">
        <f>SUM(E9:E19)</f>
        <v>114571010.10092722</v>
      </c>
      <c r="F20" s="11" t="s">
        <v>3</v>
      </c>
      <c r="G20" s="1"/>
    </row>
    <row r="21" spans="1:7" ht="15" customHeight="1" x14ac:dyDescent="0.25">
      <c r="A21" s="1"/>
      <c r="B21" s="32" t="s">
        <v>12</v>
      </c>
      <c r="C21" s="27"/>
      <c r="D21" s="27"/>
      <c r="E21" s="27"/>
      <c r="F21" s="19"/>
      <c r="G21" s="1"/>
    </row>
    <row r="22" spans="1:7" ht="15" customHeight="1" x14ac:dyDescent="0.25">
      <c r="A22" s="1"/>
      <c r="B22" s="122" t="s">
        <v>12</v>
      </c>
      <c r="C22" s="123"/>
      <c r="D22" s="124"/>
      <c r="E22" s="10">
        <v>18242679.306665193</v>
      </c>
      <c r="F22" s="11" t="s">
        <v>3</v>
      </c>
      <c r="G22" s="1"/>
    </row>
    <row r="23" spans="1:7" ht="15" customHeight="1" x14ac:dyDescent="0.25">
      <c r="A23" s="1"/>
      <c r="B23" s="125" t="s">
        <v>86</v>
      </c>
      <c r="C23" s="126"/>
      <c r="D23" s="127"/>
      <c r="E23" s="27"/>
      <c r="F23" s="27"/>
      <c r="G23" s="1"/>
    </row>
    <row r="24" spans="1:7" ht="15" customHeight="1" x14ac:dyDescent="0.25">
      <c r="A24" s="1"/>
      <c r="B24" s="82" t="s">
        <v>86</v>
      </c>
      <c r="C24" s="37"/>
      <c r="D24" s="38"/>
      <c r="E24" s="10">
        <v>0</v>
      </c>
      <c r="F24" s="11" t="s">
        <v>3</v>
      </c>
      <c r="G24" s="1"/>
    </row>
    <row r="25" spans="1:7" x14ac:dyDescent="0.25">
      <c r="A25" s="1"/>
      <c r="B25" s="32" t="s">
        <v>85</v>
      </c>
      <c r="C25" s="27"/>
      <c r="D25" s="27"/>
      <c r="E25" s="27"/>
      <c r="F25" s="19"/>
      <c r="G25" s="1"/>
    </row>
    <row r="26" spans="1:7" ht="15" customHeight="1" x14ac:dyDescent="0.25">
      <c r="A26" s="1"/>
      <c r="B26" s="119" t="s">
        <v>81</v>
      </c>
      <c r="C26" s="120"/>
      <c r="D26" s="121"/>
      <c r="E26" s="9">
        <v>0</v>
      </c>
      <c r="F26" s="8" t="s">
        <v>3</v>
      </c>
      <c r="G26" s="1"/>
    </row>
    <row r="27" spans="1:7" ht="15" customHeight="1" x14ac:dyDescent="0.25">
      <c r="A27" s="1"/>
      <c r="B27" s="119" t="s">
        <v>82</v>
      </c>
      <c r="C27" s="120"/>
      <c r="D27" s="120"/>
      <c r="E27" s="9">
        <v>0</v>
      </c>
      <c r="F27" s="8" t="s">
        <v>3</v>
      </c>
      <c r="G27" s="1"/>
    </row>
    <row r="28" spans="1:7" ht="15" customHeight="1" x14ac:dyDescent="0.25">
      <c r="A28" s="1"/>
      <c r="B28" s="131" t="s">
        <v>87</v>
      </c>
      <c r="C28" s="132"/>
      <c r="D28" s="132"/>
      <c r="E28" s="39">
        <v>0</v>
      </c>
      <c r="F28" s="11" t="s">
        <v>3</v>
      </c>
      <c r="G28" s="1"/>
    </row>
    <row r="29" spans="1:7" ht="15" customHeight="1" x14ac:dyDescent="0.25">
      <c r="A29" s="1"/>
      <c r="B29" s="32" t="s">
        <v>143</v>
      </c>
      <c r="C29" s="32"/>
      <c r="D29" s="32"/>
      <c r="E29" s="27"/>
      <c r="F29" s="27"/>
      <c r="G29" s="1"/>
    </row>
    <row r="30" spans="1:7" ht="15" customHeight="1" x14ac:dyDescent="0.25">
      <c r="A30" s="1"/>
      <c r="B30" s="122" t="s">
        <v>142</v>
      </c>
      <c r="C30" s="123"/>
      <c r="D30" s="123"/>
      <c r="E30" s="39">
        <v>-5499702</v>
      </c>
      <c r="F30" s="11" t="s">
        <v>3</v>
      </c>
      <c r="G30" s="1"/>
    </row>
    <row r="31" spans="1:7" x14ac:dyDescent="0.25">
      <c r="A31" s="1"/>
      <c r="B31" s="32" t="s">
        <v>123</v>
      </c>
      <c r="C31" s="27"/>
      <c r="D31" s="27"/>
      <c r="E31" s="27"/>
      <c r="F31" s="27"/>
      <c r="G31" s="1"/>
    </row>
    <row r="32" spans="1:7" ht="15.4" customHeight="1" x14ac:dyDescent="0.25">
      <c r="A32" s="1"/>
      <c r="B32" s="122" t="s">
        <v>123</v>
      </c>
      <c r="C32" s="123"/>
      <c r="D32" s="124"/>
      <c r="E32" s="10">
        <v>0</v>
      </c>
      <c r="F32" s="11" t="s">
        <v>3</v>
      </c>
      <c r="G32" s="1"/>
    </row>
    <row r="33" spans="1:7" ht="15.4" customHeight="1" x14ac:dyDescent="0.25">
      <c r="A33" s="1"/>
      <c r="B33" s="125" t="s">
        <v>175</v>
      </c>
      <c r="C33" s="126"/>
      <c r="D33" s="126"/>
      <c r="E33" s="126"/>
      <c r="F33" s="127"/>
      <c r="G33" s="1"/>
    </row>
    <row r="34" spans="1:7" ht="15.4" customHeight="1" x14ac:dyDescent="0.25">
      <c r="A34" s="1"/>
      <c r="B34" s="89" t="s">
        <v>176</v>
      </c>
      <c r="C34" s="10"/>
      <c r="D34" s="11"/>
      <c r="E34" s="10">
        <f>'Fane 8. Skattesagen'!G11</f>
        <v>0</v>
      </c>
      <c r="F34" s="11" t="s">
        <v>3</v>
      </c>
      <c r="G34" s="1"/>
    </row>
    <row r="35" spans="1:7" x14ac:dyDescent="0.25">
      <c r="A35" s="1"/>
      <c r="B35" s="32" t="s">
        <v>220</v>
      </c>
      <c r="C35" s="27"/>
      <c r="D35" s="19"/>
      <c r="E35" s="12">
        <f>SUM(E32,E30,E28,E24,E22,E20,E34)</f>
        <v>127313987.40759242</v>
      </c>
      <c r="F35" s="13" t="s">
        <v>3</v>
      </c>
      <c r="G35" s="1"/>
    </row>
    <row r="36" spans="1:7" ht="27" customHeight="1" x14ac:dyDescent="0.25">
      <c r="A36" s="1"/>
      <c r="B36" s="128" t="s">
        <v>224</v>
      </c>
      <c r="C36" s="129"/>
      <c r="D36" s="129"/>
      <c r="E36" s="129"/>
      <c r="F36" s="130"/>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B51" s="48"/>
      <c r="C51" s="48"/>
      <c r="D51" s="48"/>
      <c r="E51" s="48"/>
      <c r="F51" s="48"/>
      <c r="G51" s="48"/>
    </row>
    <row r="52" spans="1:7" x14ac:dyDescent="0.25">
      <c r="A52" s="48"/>
      <c r="B52" s="48"/>
      <c r="C52" s="48"/>
      <c r="D52" s="48"/>
      <c r="E52" s="48"/>
      <c r="F52" s="48"/>
      <c r="G52" s="48"/>
    </row>
  </sheetData>
  <sheetProtection algorithmName="SHA-512" hashValue="DmqcIZAJnf1PdjqcHu/5SRL3a/4HLRD+H17woeFbLxZY0b+Fe8HqQJdmULG1axdYsvtOTZe8kdzCNI3nMLpDdg==" saltValue="9wJAX/D4aOneLJM4yXCJDA==" spinCount="100000" sheet="1" objects="1" scenarios="1"/>
  <mergeCells count="21">
    <mergeCell ref="B18:D18"/>
    <mergeCell ref="B19:D19"/>
    <mergeCell ref="B13:D13"/>
    <mergeCell ref="B14:D14"/>
    <mergeCell ref="B15:D15"/>
    <mergeCell ref="B16:D16"/>
    <mergeCell ref="B17:D17"/>
    <mergeCell ref="B3:F4"/>
    <mergeCell ref="B9:D9"/>
    <mergeCell ref="B10:D10"/>
    <mergeCell ref="B11:D11"/>
    <mergeCell ref="B12:D12"/>
    <mergeCell ref="B26:D26"/>
    <mergeCell ref="B32:D32"/>
    <mergeCell ref="B22:D22"/>
    <mergeCell ref="B23:D23"/>
    <mergeCell ref="B36:F36"/>
    <mergeCell ref="B27:D27"/>
    <mergeCell ref="B28:D28"/>
    <mergeCell ref="B30:D30"/>
    <mergeCell ref="B33:F3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68"/>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33" t="s">
        <v>109</v>
      </c>
      <c r="C2" s="133"/>
      <c r="D2" s="133"/>
      <c r="E2" s="133"/>
      <c r="F2" s="133"/>
      <c r="G2" s="133"/>
      <c r="H2" s="133"/>
      <c r="I2" s="1"/>
    </row>
    <row r="3" spans="1:9" ht="28.5" customHeight="1" x14ac:dyDescent="0.25">
      <c r="A3" s="1"/>
      <c r="B3" s="133"/>
      <c r="C3" s="133"/>
      <c r="D3" s="133"/>
      <c r="E3" s="133"/>
      <c r="F3" s="133"/>
      <c r="G3" s="133"/>
      <c r="H3" s="133"/>
      <c r="I3" s="1"/>
    </row>
    <row r="4" spans="1:9" x14ac:dyDescent="0.25">
      <c r="A4" s="1"/>
      <c r="B4" s="125" t="s">
        <v>52</v>
      </c>
      <c r="C4" s="126"/>
      <c r="D4" s="126"/>
      <c r="E4" s="126"/>
      <c r="F4" s="126"/>
      <c r="G4" s="126"/>
      <c r="H4" s="127"/>
      <c r="I4" s="1"/>
    </row>
    <row r="5" spans="1:9" x14ac:dyDescent="0.25">
      <c r="A5" s="1"/>
      <c r="B5" s="135" t="s">
        <v>41</v>
      </c>
      <c r="C5" s="136"/>
      <c r="D5" s="136"/>
      <c r="E5" s="136"/>
      <c r="F5" s="137"/>
      <c r="G5" s="69">
        <v>52815179</v>
      </c>
      <c r="H5" s="14" t="s">
        <v>3</v>
      </c>
      <c r="I5" s="1"/>
    </row>
    <row r="6" spans="1:9" x14ac:dyDescent="0.25">
      <c r="A6" s="1"/>
      <c r="B6" s="128" t="s">
        <v>120</v>
      </c>
      <c r="C6" s="129"/>
      <c r="D6" s="129"/>
      <c r="E6" s="129"/>
      <c r="F6" s="130"/>
      <c r="G6" s="70">
        <v>0</v>
      </c>
      <c r="H6" s="14" t="s">
        <v>3</v>
      </c>
      <c r="I6" s="1"/>
    </row>
    <row r="7" spans="1:9" x14ac:dyDescent="0.25">
      <c r="A7" s="1"/>
      <c r="B7" s="135" t="s">
        <v>42</v>
      </c>
      <c r="C7" s="136"/>
      <c r="D7" s="136"/>
      <c r="E7" s="136"/>
      <c r="F7" s="137"/>
      <c r="G7" s="69">
        <f>SUM(G5:G6)*'Fane 15. Nøgletal'!C31</f>
        <v>1056303.58</v>
      </c>
      <c r="H7" s="14" t="s">
        <v>3</v>
      </c>
      <c r="I7" s="1"/>
    </row>
    <row r="8" spans="1:9" x14ac:dyDescent="0.25">
      <c r="A8" s="1"/>
      <c r="B8" s="32"/>
      <c r="C8" s="27"/>
      <c r="D8" s="27"/>
      <c r="E8" s="27"/>
      <c r="F8" s="27"/>
      <c r="G8" s="71"/>
      <c r="H8" s="19"/>
      <c r="I8" s="1"/>
    </row>
    <row r="9" spans="1:9" x14ac:dyDescent="0.25">
      <c r="A9" s="1"/>
      <c r="B9" s="1"/>
      <c r="C9" s="1"/>
      <c r="D9" s="1"/>
      <c r="E9" s="1"/>
      <c r="F9" s="1"/>
      <c r="G9" s="72"/>
      <c r="H9" s="1"/>
      <c r="I9" s="1"/>
    </row>
    <row r="10" spans="1:9" x14ac:dyDescent="0.25">
      <c r="A10" s="1"/>
      <c r="B10" s="125" t="s">
        <v>53</v>
      </c>
      <c r="C10" s="126"/>
      <c r="D10" s="126"/>
      <c r="E10" s="126"/>
      <c r="F10" s="126"/>
      <c r="G10" s="134"/>
      <c r="H10" s="127"/>
      <c r="I10" s="1"/>
    </row>
    <row r="11" spans="1:9" x14ac:dyDescent="0.25">
      <c r="A11" s="1"/>
      <c r="B11" s="135" t="s">
        <v>43</v>
      </c>
      <c r="C11" s="136"/>
      <c r="D11" s="136"/>
      <c r="E11" s="136"/>
      <c r="F11" s="137"/>
      <c r="G11" s="69">
        <f>(G5-G7)*(1+'Fane 15. Nøgletal'!C10)</f>
        <v>52664655.739850007</v>
      </c>
      <c r="H11" s="14" t="s">
        <v>3</v>
      </c>
      <c r="I11" s="1"/>
    </row>
    <row r="12" spans="1:9" ht="15" customHeight="1" x14ac:dyDescent="0.25">
      <c r="A12" s="1"/>
      <c r="B12" s="135" t="s">
        <v>121</v>
      </c>
      <c r="C12" s="136"/>
      <c r="D12" s="136"/>
      <c r="E12" s="136"/>
      <c r="F12" s="137"/>
      <c r="G12" s="70">
        <v>532657.09202150512</v>
      </c>
      <c r="H12" s="14" t="s">
        <v>3</v>
      </c>
      <c r="I12" s="1"/>
    </row>
    <row r="13" spans="1:9" x14ac:dyDescent="0.25">
      <c r="A13" s="1"/>
      <c r="B13" s="128" t="s">
        <v>118</v>
      </c>
      <c r="C13" s="129"/>
      <c r="D13" s="129"/>
      <c r="E13" s="129"/>
      <c r="F13" s="130"/>
      <c r="G13" s="70">
        <v>0</v>
      </c>
      <c r="H13" s="14" t="s">
        <v>3</v>
      </c>
      <c r="I13" s="1"/>
    </row>
    <row r="14" spans="1:9" x14ac:dyDescent="0.25">
      <c r="A14" s="1"/>
      <c r="B14" s="138" t="s">
        <v>44</v>
      </c>
      <c r="C14" s="139"/>
      <c r="D14" s="139"/>
      <c r="E14" s="139"/>
      <c r="F14" s="140"/>
      <c r="G14" s="70">
        <v>8929736.9264812507</v>
      </c>
      <c r="H14" s="14" t="s">
        <v>3</v>
      </c>
      <c r="I14" s="1"/>
    </row>
    <row r="15" spans="1:9" x14ac:dyDescent="0.25">
      <c r="A15" s="1"/>
      <c r="B15" s="135" t="s">
        <v>45</v>
      </c>
      <c r="C15" s="136"/>
      <c r="D15" s="136"/>
      <c r="E15" s="136"/>
      <c r="F15" s="137"/>
      <c r="G15" s="69">
        <f>SUM(G11:G14)*'Fane 15. Nøgletal'!C31</f>
        <v>1242540.9951670552</v>
      </c>
      <c r="H15" s="14" t="s">
        <v>3</v>
      </c>
      <c r="I15" s="1"/>
    </row>
    <row r="16" spans="1:9" x14ac:dyDescent="0.25">
      <c r="A16" s="1"/>
      <c r="B16" s="32"/>
      <c r="C16" s="27"/>
      <c r="D16" s="27"/>
      <c r="E16" s="27"/>
      <c r="F16" s="27"/>
      <c r="G16" s="71"/>
      <c r="H16" s="19"/>
      <c r="I16" s="1"/>
    </row>
    <row r="17" spans="1:9" x14ac:dyDescent="0.25">
      <c r="A17" s="1"/>
      <c r="B17" s="1"/>
      <c r="C17" s="1"/>
      <c r="D17" s="1"/>
      <c r="E17" s="1"/>
      <c r="F17" s="1"/>
      <c r="G17" s="72"/>
      <c r="H17" s="1"/>
      <c r="I17" s="1"/>
    </row>
    <row r="18" spans="1:9" x14ac:dyDescent="0.25">
      <c r="A18" s="1"/>
      <c r="B18" s="125" t="s">
        <v>54</v>
      </c>
      <c r="C18" s="126"/>
      <c r="D18" s="126"/>
      <c r="E18" s="126"/>
      <c r="F18" s="126"/>
      <c r="G18" s="134"/>
      <c r="H18" s="127"/>
      <c r="I18" s="1"/>
    </row>
    <row r="19" spans="1:9" x14ac:dyDescent="0.25">
      <c r="A19" s="1"/>
      <c r="B19" s="135" t="s">
        <v>46</v>
      </c>
      <c r="C19" s="136"/>
      <c r="D19" s="136"/>
      <c r="E19" s="136"/>
      <c r="F19" s="137"/>
      <c r="G19" s="69">
        <f>(SUM(G11:G12,G14)-(G15))*(1+'Fane 15. Nøgletal'!C10)</f>
        <v>61949987.666541457</v>
      </c>
      <c r="H19" s="14" t="s">
        <v>3</v>
      </c>
      <c r="I19" s="1"/>
    </row>
    <row r="20" spans="1:9" x14ac:dyDescent="0.25">
      <c r="A20" s="1"/>
      <c r="B20" s="138" t="s">
        <v>47</v>
      </c>
      <c r="C20" s="139"/>
      <c r="D20" s="139"/>
      <c r="E20" s="139"/>
      <c r="F20" s="140"/>
      <c r="G20" s="70">
        <v>0</v>
      </c>
      <c r="H20" s="14" t="s">
        <v>3</v>
      </c>
      <c r="I20" s="1"/>
    </row>
    <row r="21" spans="1:9" x14ac:dyDescent="0.25">
      <c r="A21" s="1"/>
      <c r="B21" s="135" t="s">
        <v>48</v>
      </c>
      <c r="C21" s="136"/>
      <c r="D21" s="136"/>
      <c r="E21" s="136"/>
      <c r="F21" s="137"/>
      <c r="G21" s="69">
        <f>SUM(G19:G20)*'Fane 15. Nøgletal'!C31</f>
        <v>1238999.7533308291</v>
      </c>
      <c r="H21" s="14" t="s">
        <v>3</v>
      </c>
      <c r="I21" s="1"/>
    </row>
    <row r="22" spans="1:9" x14ac:dyDescent="0.25">
      <c r="A22" s="1"/>
      <c r="B22" s="32"/>
      <c r="C22" s="27"/>
      <c r="D22" s="27"/>
      <c r="E22" s="27"/>
      <c r="F22" s="27"/>
      <c r="G22" s="71"/>
      <c r="H22" s="19"/>
      <c r="I22" s="1"/>
    </row>
    <row r="23" spans="1:9" x14ac:dyDescent="0.25">
      <c r="A23" s="1"/>
      <c r="B23" s="1"/>
      <c r="C23" s="1"/>
      <c r="D23" s="1"/>
      <c r="E23" s="1"/>
      <c r="F23" s="1"/>
      <c r="G23" s="72"/>
      <c r="H23" s="1"/>
      <c r="I23" s="1"/>
    </row>
    <row r="24" spans="1:9" x14ac:dyDescent="0.25">
      <c r="A24" s="1"/>
      <c r="B24" s="125" t="s">
        <v>55</v>
      </c>
      <c r="C24" s="126"/>
      <c r="D24" s="126"/>
      <c r="E24" s="126"/>
      <c r="F24" s="126"/>
      <c r="G24" s="134"/>
      <c r="H24" s="127"/>
      <c r="I24" s="1"/>
    </row>
    <row r="25" spans="1:9" x14ac:dyDescent="0.25">
      <c r="A25" s="1"/>
      <c r="B25" s="135" t="s">
        <v>49</v>
      </c>
      <c r="C25" s="136"/>
      <c r="D25" s="136"/>
      <c r="E25" s="136"/>
      <c r="F25" s="137"/>
      <c r="G25" s="69">
        <f>(G19+G20-G21)*(1+'Fane 15. Nøgletal'!C12)</f>
        <v>61906994.375100881</v>
      </c>
      <c r="H25" s="14" t="s">
        <v>3</v>
      </c>
      <c r="I25" s="1"/>
    </row>
    <row r="26" spans="1:9" x14ac:dyDescent="0.25">
      <c r="A26" s="1"/>
      <c r="B26" s="138" t="s">
        <v>50</v>
      </c>
      <c r="C26" s="139"/>
      <c r="D26" s="139"/>
      <c r="E26" s="139"/>
      <c r="F26" s="140"/>
      <c r="G26" s="70">
        <v>0</v>
      </c>
      <c r="H26" s="14" t="s">
        <v>3</v>
      </c>
      <c r="I26" s="1"/>
    </row>
    <row r="27" spans="1:9" x14ac:dyDescent="0.25">
      <c r="A27" s="1"/>
      <c r="B27" s="135" t="s">
        <v>51</v>
      </c>
      <c r="C27" s="136"/>
      <c r="D27" s="136"/>
      <c r="E27" s="136"/>
      <c r="F27" s="137"/>
      <c r="G27" s="69">
        <f>(G25+G26)*'Fane 15. Nøgletal'!C31</f>
        <v>1238139.8875020177</v>
      </c>
      <c r="H27" s="14" t="s">
        <v>3</v>
      </c>
      <c r="I27" s="1"/>
    </row>
    <row r="28" spans="1:9" x14ac:dyDescent="0.25">
      <c r="A28" s="1"/>
      <c r="B28" s="32"/>
      <c r="C28" s="27"/>
      <c r="D28" s="27"/>
      <c r="E28" s="27"/>
      <c r="F28" s="27"/>
      <c r="G28" s="71"/>
      <c r="H28" s="19"/>
      <c r="I28" s="1"/>
    </row>
    <row r="29" spans="1:9" x14ac:dyDescent="0.25">
      <c r="A29" s="1"/>
      <c r="B29" s="1"/>
      <c r="C29" s="1"/>
      <c r="D29" s="1"/>
      <c r="E29" s="1"/>
      <c r="F29" s="1"/>
      <c r="G29" s="72"/>
      <c r="H29" s="1"/>
      <c r="I29" s="1"/>
    </row>
    <row r="30" spans="1:9" x14ac:dyDescent="0.25">
      <c r="A30" s="1"/>
      <c r="B30" s="125" t="s">
        <v>58</v>
      </c>
      <c r="C30" s="126"/>
      <c r="D30" s="126"/>
      <c r="E30" s="126"/>
      <c r="F30" s="126"/>
      <c r="G30" s="134"/>
      <c r="H30" s="127"/>
      <c r="I30" s="1"/>
    </row>
    <row r="31" spans="1:9" x14ac:dyDescent="0.25">
      <c r="A31" s="1"/>
      <c r="B31" s="135" t="s">
        <v>59</v>
      </c>
      <c r="C31" s="136"/>
      <c r="D31" s="136"/>
      <c r="E31" s="136"/>
      <c r="F31" s="137"/>
      <c r="G31" s="69">
        <f>(G25+G26-G27)*(1+'Fane 15. Nøgletal'!C12)</f>
        <v>61864030.921004564</v>
      </c>
      <c r="H31" s="14" t="s">
        <v>3</v>
      </c>
      <c r="I31" s="1"/>
    </row>
    <row r="32" spans="1:9" x14ac:dyDescent="0.25">
      <c r="A32" s="1"/>
      <c r="B32" s="135" t="s">
        <v>137</v>
      </c>
      <c r="C32" s="136"/>
      <c r="D32" s="136"/>
      <c r="E32" s="136"/>
      <c r="F32" s="137"/>
      <c r="G32" s="69">
        <v>0</v>
      </c>
      <c r="H32" s="14" t="s">
        <v>3</v>
      </c>
      <c r="I32" s="1"/>
    </row>
    <row r="33" spans="1:9" x14ac:dyDescent="0.25">
      <c r="A33" s="1"/>
      <c r="B33" s="135" t="s">
        <v>60</v>
      </c>
      <c r="C33" s="136"/>
      <c r="D33" s="136"/>
      <c r="E33" s="136"/>
      <c r="F33" s="137"/>
      <c r="G33" s="69">
        <f>(G31+G32)*'Fane 15. Nøgletal'!C31</f>
        <v>1237280.6184200912</v>
      </c>
      <c r="H33" s="14" t="s">
        <v>3</v>
      </c>
      <c r="I33" s="1"/>
    </row>
    <row r="34" spans="1:9" x14ac:dyDescent="0.25">
      <c r="A34" s="1"/>
      <c r="B34" s="32"/>
      <c r="C34" s="27"/>
      <c r="D34" s="27"/>
      <c r="E34" s="27"/>
      <c r="F34" s="27"/>
      <c r="G34" s="71"/>
      <c r="H34" s="19"/>
      <c r="I34" s="1"/>
    </row>
    <row r="35" spans="1:9" x14ac:dyDescent="0.25">
      <c r="A35" s="1"/>
      <c r="B35" s="1"/>
      <c r="C35" s="1"/>
      <c r="D35" s="1"/>
      <c r="E35" s="1"/>
      <c r="F35" s="1"/>
      <c r="G35" s="72"/>
      <c r="H35" s="1"/>
      <c r="I35" s="1"/>
    </row>
    <row r="36" spans="1:9" x14ac:dyDescent="0.25">
      <c r="A36" s="1"/>
      <c r="B36" s="125" t="s">
        <v>160</v>
      </c>
      <c r="C36" s="126"/>
      <c r="D36" s="126"/>
      <c r="E36" s="126"/>
      <c r="F36" s="126"/>
      <c r="G36" s="134"/>
      <c r="H36" s="127"/>
      <c r="I36" s="1"/>
    </row>
    <row r="37" spans="1:9" x14ac:dyDescent="0.25">
      <c r="A37" s="1"/>
      <c r="B37" s="135" t="s">
        <v>79</v>
      </c>
      <c r="C37" s="136"/>
      <c r="D37" s="136"/>
      <c r="E37" s="136"/>
      <c r="F37" s="137"/>
      <c r="G37" s="69">
        <f>(G31+G32-G33)*(1+'Fane 15. Nøgletal'!C14)</f>
        <v>60826818.578583002</v>
      </c>
      <c r="H37" s="14" t="s">
        <v>3</v>
      </c>
      <c r="I37" s="1"/>
    </row>
    <row r="38" spans="1:9" x14ac:dyDescent="0.25">
      <c r="A38" s="1"/>
      <c r="B38" s="135" t="s">
        <v>164</v>
      </c>
      <c r="C38" s="136"/>
      <c r="D38" s="136"/>
      <c r="E38" s="136"/>
      <c r="F38" s="137"/>
      <c r="G38" s="69">
        <v>0</v>
      </c>
      <c r="H38" s="14" t="s">
        <v>3</v>
      </c>
      <c r="I38" s="1"/>
    </row>
    <row r="39" spans="1:9" x14ac:dyDescent="0.25">
      <c r="A39" s="1"/>
      <c r="B39" s="135" t="s">
        <v>162</v>
      </c>
      <c r="C39" s="136"/>
      <c r="D39" s="136"/>
      <c r="E39" s="136"/>
      <c r="F39" s="137"/>
      <c r="G39" s="69">
        <f>(G37+G38)*'Fane 15. Nøgletal'!C31</f>
        <v>1216536.37157166</v>
      </c>
      <c r="H39" s="14" t="s">
        <v>3</v>
      </c>
      <c r="I39" s="1"/>
    </row>
    <row r="40" spans="1:9" x14ac:dyDescent="0.25">
      <c r="A40" s="1"/>
      <c r="B40" s="32"/>
      <c r="C40" s="27"/>
      <c r="D40" s="27"/>
      <c r="E40" s="27"/>
      <c r="F40" s="27"/>
      <c r="G40" s="71"/>
      <c r="H40" s="19"/>
      <c r="I40" s="1"/>
    </row>
    <row r="41" spans="1:9" x14ac:dyDescent="0.25">
      <c r="A41" s="1"/>
      <c r="B41" s="1"/>
      <c r="C41" s="1"/>
      <c r="D41" s="1"/>
      <c r="E41" s="1"/>
      <c r="F41" s="1"/>
      <c r="G41" s="72"/>
      <c r="H41" s="1"/>
      <c r="I41" s="1"/>
    </row>
    <row r="42" spans="1:9" x14ac:dyDescent="0.25">
      <c r="A42" s="1"/>
      <c r="B42" s="125" t="s">
        <v>161</v>
      </c>
      <c r="C42" s="126"/>
      <c r="D42" s="126"/>
      <c r="E42" s="126"/>
      <c r="F42" s="126"/>
      <c r="G42" s="134"/>
      <c r="H42" s="127"/>
      <c r="I42" s="1"/>
    </row>
    <row r="43" spans="1:9" x14ac:dyDescent="0.25">
      <c r="A43" s="1"/>
      <c r="B43" s="135" t="s">
        <v>230</v>
      </c>
      <c r="C43" s="136"/>
      <c r="D43" s="136"/>
      <c r="E43" s="136"/>
      <c r="F43" s="137"/>
      <c r="G43" s="69">
        <f>(G37+G38-G39)*(1+'Fane 15. Nøgletal'!C14)</f>
        <v>59806996.138294481</v>
      </c>
      <c r="H43" s="14" t="s">
        <v>3</v>
      </c>
      <c r="I43" s="1"/>
    </row>
    <row r="44" spans="1:9" x14ac:dyDescent="0.25">
      <c r="A44" s="1"/>
      <c r="B44" s="141" t="s">
        <v>232</v>
      </c>
      <c r="C44" s="142"/>
      <c r="D44" s="142"/>
      <c r="E44" s="142"/>
      <c r="F44" s="143"/>
      <c r="G44" s="73">
        <f>('Fane 2.1. Økonomisk ramme 2023'!C10+'Fane 2.1. Økonomisk ramme 2023'!C12+'Fane 2.1. Økonomisk ramme 2023'!C14)*(1+'Fane 15. Nøgletal'!C15)</f>
        <v>0</v>
      </c>
      <c r="H44" s="14" t="s">
        <v>3</v>
      </c>
      <c r="I44" s="1"/>
    </row>
    <row r="45" spans="1:9" x14ac:dyDescent="0.25">
      <c r="A45" s="1"/>
      <c r="B45" s="135" t="s">
        <v>163</v>
      </c>
      <c r="C45" s="136"/>
      <c r="D45" s="136"/>
      <c r="E45" s="136"/>
      <c r="F45" s="137"/>
      <c r="G45" s="69">
        <f>SUM(G43:G44)*'Fane 15. Nøgletal'!C31</f>
        <v>1196139.9227658897</v>
      </c>
      <c r="H45" s="14" t="s">
        <v>3</v>
      </c>
      <c r="I45" s="1"/>
    </row>
    <row r="46" spans="1:9" x14ac:dyDescent="0.25">
      <c r="A46" s="1"/>
      <c r="B46" s="32"/>
      <c r="C46" s="27"/>
      <c r="D46" s="27"/>
      <c r="E46" s="27"/>
      <c r="F46" s="27"/>
      <c r="G46" s="71"/>
      <c r="H46" s="19"/>
      <c r="I46" s="1"/>
    </row>
    <row r="47" spans="1:9" x14ac:dyDescent="0.25">
      <c r="A47" s="1"/>
      <c r="B47" s="1"/>
      <c r="C47" s="1"/>
      <c r="D47" s="1"/>
      <c r="E47" s="1"/>
      <c r="F47" s="1"/>
      <c r="G47" s="72"/>
      <c r="H47" s="1"/>
      <c r="I47" s="1"/>
    </row>
    <row r="48" spans="1:9" x14ac:dyDescent="0.25">
      <c r="A48" s="1"/>
      <c r="B48" s="1"/>
      <c r="C48" s="1"/>
      <c r="D48" s="1"/>
      <c r="E48" s="1"/>
      <c r="F48" s="1"/>
      <c r="G48" s="72"/>
      <c r="H48" s="1"/>
      <c r="I48" s="1"/>
    </row>
    <row r="49" spans="1:9" x14ac:dyDescent="0.25">
      <c r="A49" s="1"/>
      <c r="B49" s="1"/>
      <c r="C49" s="1"/>
      <c r="D49" s="1"/>
      <c r="E49" s="1"/>
      <c r="F49" s="1"/>
      <c r="G49" s="72"/>
      <c r="H49" s="1"/>
      <c r="I49" s="1"/>
    </row>
    <row r="50" spans="1:9" x14ac:dyDescent="0.25">
      <c r="A50" s="1"/>
      <c r="B50" s="1"/>
      <c r="C50" s="1"/>
      <c r="D50" s="1"/>
      <c r="E50" s="1"/>
      <c r="F50" s="1"/>
      <c r="G50" s="72"/>
      <c r="H50" s="1"/>
      <c r="I50" s="1"/>
    </row>
    <row r="51" spans="1:9" x14ac:dyDescent="0.25">
      <c r="A51" s="1"/>
      <c r="B51" s="125" t="s">
        <v>243</v>
      </c>
      <c r="C51" s="126"/>
      <c r="D51" s="126"/>
      <c r="E51" s="126"/>
      <c r="F51" s="126"/>
      <c r="G51" s="134"/>
      <c r="H51" s="127"/>
      <c r="I51" s="1"/>
    </row>
    <row r="52" spans="1:9" x14ac:dyDescent="0.25">
      <c r="A52" s="1"/>
      <c r="B52" s="135" t="s">
        <v>229</v>
      </c>
      <c r="C52" s="136"/>
      <c r="D52" s="136"/>
      <c r="E52" s="136"/>
      <c r="F52" s="137"/>
      <c r="G52" s="69">
        <f>(G43+G44-G45)*(1+'Fane 15. Nøgletal'!C15)</f>
        <v>60697402.696801417</v>
      </c>
      <c r="H52" s="14" t="s">
        <v>3</v>
      </c>
      <c r="I52" s="1"/>
    </row>
    <row r="53" spans="1:9" x14ac:dyDescent="0.25">
      <c r="A53" s="1"/>
      <c r="B53" s="135" t="s">
        <v>138</v>
      </c>
      <c r="C53" s="136"/>
      <c r="D53" s="136"/>
      <c r="E53" s="136"/>
      <c r="F53" s="137"/>
      <c r="G53" s="69">
        <f>(G52)*'Fane 15. Nøgletal'!C31</f>
        <v>1213948.0539360284</v>
      </c>
      <c r="H53" s="14" t="s">
        <v>3</v>
      </c>
      <c r="I53" s="1"/>
    </row>
    <row r="54" spans="1:9" x14ac:dyDescent="0.25">
      <c r="A54" s="1"/>
      <c r="B54" s="32"/>
      <c r="C54" s="27"/>
      <c r="D54" s="27"/>
      <c r="E54" s="27"/>
      <c r="F54" s="27"/>
      <c r="G54" s="71"/>
      <c r="H54" s="19"/>
      <c r="I54" s="1"/>
    </row>
    <row r="55" spans="1:9" x14ac:dyDescent="0.25">
      <c r="A55" s="1"/>
      <c r="B55" s="1"/>
      <c r="C55" s="1"/>
      <c r="D55" s="1"/>
      <c r="E55" s="1"/>
      <c r="F55" s="1"/>
      <c r="G55" s="72"/>
      <c r="H55" s="1"/>
      <c r="I55" s="1"/>
    </row>
    <row r="56" spans="1:9" x14ac:dyDescent="0.25">
      <c r="A56" s="1"/>
      <c r="B56" s="125" t="s">
        <v>150</v>
      </c>
      <c r="C56" s="126"/>
      <c r="D56" s="126"/>
      <c r="E56" s="126"/>
      <c r="F56" s="126"/>
      <c r="G56" s="134"/>
      <c r="H56" s="127"/>
      <c r="I56" s="1"/>
    </row>
    <row r="57" spans="1:9" x14ac:dyDescent="0.25">
      <c r="A57" s="1"/>
      <c r="B57" s="84" t="s">
        <v>151</v>
      </c>
      <c r="C57" s="85"/>
      <c r="D57" s="85"/>
      <c r="E57" s="85"/>
      <c r="F57" s="86"/>
      <c r="G57" s="69">
        <f>(G52-G53)*(1+'Fane 15. Nøgletal'!C15)</f>
        <v>61601065.628151402</v>
      </c>
      <c r="H57" s="14" t="s">
        <v>3</v>
      </c>
      <c r="I57" s="1"/>
    </row>
    <row r="58" spans="1:9" x14ac:dyDescent="0.25">
      <c r="A58" s="1"/>
      <c r="B58" s="84" t="s">
        <v>152</v>
      </c>
      <c r="C58" s="85"/>
      <c r="D58" s="85"/>
      <c r="E58" s="85"/>
      <c r="F58" s="86"/>
      <c r="G58" s="69">
        <f>(G57)*'Fane 15. Nøgletal'!C31</f>
        <v>1232021.312563028</v>
      </c>
      <c r="H58" s="14" t="s">
        <v>3</v>
      </c>
      <c r="I58" s="1"/>
    </row>
    <row r="59" spans="1:9" x14ac:dyDescent="0.25">
      <c r="A59" s="1"/>
      <c r="B59" s="32"/>
      <c r="C59" s="27"/>
      <c r="D59" s="27"/>
      <c r="E59" s="27"/>
      <c r="F59" s="27"/>
      <c r="G59" s="71"/>
      <c r="H59" s="19"/>
      <c r="I59" s="1"/>
    </row>
    <row r="60" spans="1:9" x14ac:dyDescent="0.25">
      <c r="A60" s="1"/>
      <c r="B60" s="1"/>
      <c r="C60" s="1"/>
      <c r="D60" s="1"/>
      <c r="E60" s="1"/>
      <c r="F60" s="1"/>
      <c r="G60" s="72"/>
      <c r="H60" s="1"/>
      <c r="I60" s="1"/>
    </row>
    <row r="61" spans="1:9" x14ac:dyDescent="0.25">
      <c r="A61" s="1"/>
      <c r="B61" s="125" t="s">
        <v>194</v>
      </c>
      <c r="C61" s="126"/>
      <c r="D61" s="126"/>
      <c r="E61" s="126"/>
      <c r="F61" s="126"/>
      <c r="G61" s="134"/>
      <c r="H61" s="127"/>
      <c r="I61" s="1"/>
    </row>
    <row r="62" spans="1:9" x14ac:dyDescent="0.25">
      <c r="A62" s="1"/>
      <c r="B62" s="84" t="s">
        <v>195</v>
      </c>
      <c r="C62" s="85"/>
      <c r="D62" s="85"/>
      <c r="E62" s="85"/>
      <c r="F62" s="86"/>
      <c r="G62" s="69">
        <f>(G57-G58)*(1+'Fane 15. Nøgletal'!C15)</f>
        <v>62518182.293223329</v>
      </c>
      <c r="H62" s="14" t="s">
        <v>3</v>
      </c>
      <c r="I62" s="1"/>
    </row>
    <row r="63" spans="1:9" x14ac:dyDescent="0.25">
      <c r="A63" s="1"/>
      <c r="B63" s="84" t="s">
        <v>196</v>
      </c>
      <c r="C63" s="85"/>
      <c r="D63" s="85"/>
      <c r="E63" s="85"/>
      <c r="F63" s="86"/>
      <c r="G63" s="69">
        <f>(G62)*'Fane 15. Nøgletal'!C31</f>
        <v>1250363.6458644667</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49"/>
    </row>
  </sheetData>
  <sheetProtection algorithmName="SHA-512" hashValue="p/YQbpJfRgAHMkCkq2qTFt1nbPByLZ+QDjmWOTk2hwqLc4LPRlbY4E2dt87/GYBE3Rb2yBMt735L8tN9jrtmsg==" saltValue="Lx/fxmfKZJ9VG9sXiQ8xPA==" spinCount="100000" sheet="1" objects="1" scenarios="1"/>
  <mergeCells count="36">
    <mergeCell ref="B53:F53"/>
    <mergeCell ref="B37:F37"/>
    <mergeCell ref="B32:F32"/>
    <mergeCell ref="B33:F33"/>
    <mergeCell ref="B42:H42"/>
    <mergeCell ref="B43:F43"/>
    <mergeCell ref="B45:F45"/>
    <mergeCell ref="B38:F38"/>
    <mergeCell ref="B39:F39"/>
    <mergeCell ref="B44:F4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70"/>
  <sheetViews>
    <sheetView showGridLines="0" view="pageLayout" zoomScaleNormal="100" workbookViewId="0"/>
  </sheetViews>
  <sheetFormatPr defaultColWidth="9.140625" defaultRowHeight="15" x14ac:dyDescent="0.25"/>
  <cols>
    <col min="1" max="1" width="4.5703125" style="2" customWidth="1"/>
    <col min="2" max="5" width="9.140625" style="2"/>
    <col min="6" max="6" width="23.28515625" style="2" customWidth="1"/>
    <col min="7" max="7" width="14.140625" style="2" customWidth="1"/>
    <col min="8" max="8" width="3.28515625" style="2" customWidth="1"/>
    <col min="9" max="9" width="4.5703125" style="2" customWidth="1"/>
    <col min="10" max="16384" width="9.140625" style="2"/>
  </cols>
  <sheetData>
    <row r="1" spans="1:9" ht="14.25" customHeight="1" x14ac:dyDescent="0.25">
      <c r="A1" s="1"/>
      <c r="B1" s="144" t="s">
        <v>110</v>
      </c>
      <c r="C1" s="144"/>
      <c r="D1" s="144"/>
      <c r="E1" s="144"/>
      <c r="F1" s="144"/>
      <c r="G1" s="144"/>
      <c r="H1" s="144"/>
      <c r="I1" s="1"/>
    </row>
    <row r="2" spans="1:9" ht="15" customHeight="1" x14ac:dyDescent="0.25">
      <c r="A2" s="1"/>
      <c r="B2" s="144"/>
      <c r="C2" s="144"/>
      <c r="D2" s="144"/>
      <c r="E2" s="144"/>
      <c r="F2" s="144"/>
      <c r="G2" s="144"/>
      <c r="H2" s="144"/>
      <c r="I2" s="1"/>
    </row>
    <row r="3" spans="1:9" ht="15" customHeight="1" x14ac:dyDescent="0.25">
      <c r="A3" s="1"/>
      <c r="B3" s="145"/>
      <c r="C3" s="145"/>
      <c r="D3" s="145"/>
      <c r="E3" s="145"/>
      <c r="F3" s="145"/>
      <c r="G3" s="145"/>
      <c r="H3" s="145"/>
      <c r="I3" s="1"/>
    </row>
    <row r="4" spans="1:9" x14ac:dyDescent="0.25">
      <c r="A4" s="1"/>
      <c r="B4" s="125" t="s">
        <v>56</v>
      </c>
      <c r="C4" s="126"/>
      <c r="D4" s="126"/>
      <c r="E4" s="126"/>
      <c r="F4" s="126"/>
      <c r="G4" s="126"/>
      <c r="H4" s="127"/>
      <c r="I4" s="1"/>
    </row>
    <row r="5" spans="1:9" x14ac:dyDescent="0.25">
      <c r="A5" s="1"/>
      <c r="B5" s="135" t="s">
        <v>61</v>
      </c>
      <c r="C5" s="136"/>
      <c r="D5" s="136"/>
      <c r="E5" s="136"/>
      <c r="F5" s="137"/>
      <c r="G5" s="69">
        <v>57853195</v>
      </c>
      <c r="H5" s="14" t="s">
        <v>3</v>
      </c>
      <c r="I5" s="1"/>
    </row>
    <row r="6" spans="1:9" x14ac:dyDescent="0.25">
      <c r="A6" s="1"/>
      <c r="B6" s="135" t="s">
        <v>57</v>
      </c>
      <c r="C6" s="136"/>
      <c r="D6" s="136"/>
      <c r="E6" s="136"/>
      <c r="F6" s="137"/>
      <c r="G6" s="69">
        <f>G5*'Fane 15. Nøgletal'!C20</f>
        <v>526464.07449999999</v>
      </c>
      <c r="H6" s="14" t="s">
        <v>3</v>
      </c>
      <c r="I6" s="1"/>
    </row>
    <row r="7" spans="1:9" x14ac:dyDescent="0.25">
      <c r="A7" s="1"/>
      <c r="B7" s="32"/>
      <c r="C7" s="27"/>
      <c r="D7" s="27"/>
      <c r="E7" s="27"/>
      <c r="F7" s="27"/>
      <c r="G7" s="71"/>
      <c r="H7" s="19"/>
      <c r="I7" s="1"/>
    </row>
    <row r="8" spans="1:9" x14ac:dyDescent="0.25">
      <c r="A8" s="1"/>
      <c r="B8" s="1"/>
      <c r="C8" s="1"/>
      <c r="D8" s="1"/>
      <c r="E8" s="1"/>
      <c r="F8" s="1"/>
      <c r="G8" s="72"/>
      <c r="H8" s="1"/>
      <c r="I8" s="1"/>
    </row>
    <row r="9" spans="1:9" x14ac:dyDescent="0.25">
      <c r="A9" s="1"/>
      <c r="B9" s="125" t="s">
        <v>62</v>
      </c>
      <c r="C9" s="126"/>
      <c r="D9" s="126"/>
      <c r="E9" s="126"/>
      <c r="F9" s="126"/>
      <c r="G9" s="134"/>
      <c r="H9" s="127"/>
      <c r="I9" s="1"/>
    </row>
    <row r="10" spans="1:9" x14ac:dyDescent="0.25">
      <c r="A10" s="1"/>
      <c r="B10" s="135" t="s">
        <v>63</v>
      </c>
      <c r="C10" s="136"/>
      <c r="D10" s="136"/>
      <c r="E10" s="136"/>
      <c r="F10" s="137"/>
      <c r="G10" s="69">
        <f>(G5-G6)*(1+'Fane 15. Nøgletal'!C10)</f>
        <v>58329948.716696255</v>
      </c>
      <c r="H10" s="14" t="s">
        <v>3</v>
      </c>
      <c r="I10" s="1"/>
    </row>
    <row r="11" spans="1:9" x14ac:dyDescent="0.25">
      <c r="A11" s="1"/>
      <c r="B11" s="135" t="s">
        <v>122</v>
      </c>
      <c r="C11" s="136"/>
      <c r="D11" s="136"/>
      <c r="E11" s="136"/>
      <c r="F11" s="137"/>
      <c r="G11" s="69">
        <v>1020455.326657699</v>
      </c>
      <c r="H11" s="14" t="s">
        <v>3</v>
      </c>
      <c r="I11" s="1"/>
    </row>
    <row r="12" spans="1:9" x14ac:dyDescent="0.25">
      <c r="A12" s="1"/>
      <c r="B12" s="138" t="s">
        <v>64</v>
      </c>
      <c r="C12" s="139"/>
      <c r="D12" s="139"/>
      <c r="E12" s="139"/>
      <c r="F12" s="140"/>
      <c r="G12" s="70">
        <v>0</v>
      </c>
      <c r="H12" s="14" t="s">
        <v>3</v>
      </c>
      <c r="I12" s="1"/>
    </row>
    <row r="13" spans="1:9" x14ac:dyDescent="0.25">
      <c r="A13" s="1"/>
      <c r="B13" s="135" t="s">
        <v>65</v>
      </c>
      <c r="C13" s="136"/>
      <c r="D13" s="136"/>
      <c r="E13" s="136"/>
      <c r="F13" s="137"/>
      <c r="G13" s="69">
        <f>SUM(G10:G12)*'Fane 15. Nøgletal'!C21</f>
        <v>1050502.151567365</v>
      </c>
      <c r="H13" s="14" t="s">
        <v>3</v>
      </c>
      <c r="I13" s="1"/>
    </row>
    <row r="14" spans="1:9" x14ac:dyDescent="0.25">
      <c r="A14" s="1"/>
      <c r="B14" s="32"/>
      <c r="C14" s="27"/>
      <c r="D14" s="27"/>
      <c r="E14" s="27"/>
      <c r="F14" s="27"/>
      <c r="G14" s="71"/>
      <c r="H14" s="19"/>
      <c r="I14" s="1"/>
    </row>
    <row r="15" spans="1:9" x14ac:dyDescent="0.25">
      <c r="A15" s="1"/>
      <c r="B15" s="1"/>
      <c r="C15" s="1"/>
      <c r="D15" s="1"/>
      <c r="E15" s="1"/>
      <c r="F15" s="1"/>
      <c r="G15" s="72"/>
      <c r="H15" s="1"/>
      <c r="I15" s="1"/>
    </row>
    <row r="16" spans="1:9" x14ac:dyDescent="0.25">
      <c r="A16" s="1"/>
      <c r="B16" s="125" t="s">
        <v>66</v>
      </c>
      <c r="C16" s="126"/>
      <c r="D16" s="126"/>
      <c r="E16" s="126"/>
      <c r="F16" s="126"/>
      <c r="G16" s="134"/>
      <c r="H16" s="127"/>
      <c r="I16" s="1"/>
    </row>
    <row r="17" spans="1:9" x14ac:dyDescent="0.25">
      <c r="A17" s="1"/>
      <c r="B17" s="135" t="s">
        <v>67</v>
      </c>
      <c r="C17" s="136"/>
      <c r="D17" s="136"/>
      <c r="E17" s="136"/>
      <c r="F17" s="137"/>
      <c r="G17" s="69">
        <f>(SUM(G10:G12)-G13)*(1+'Fane 15. Nøgletal'!C10)</f>
        <v>59320150.174892858</v>
      </c>
      <c r="H17" s="14" t="s">
        <v>3</v>
      </c>
      <c r="I17" s="1"/>
    </row>
    <row r="18" spans="1:9" x14ac:dyDescent="0.25">
      <c r="A18" s="1"/>
      <c r="B18" s="138" t="s">
        <v>68</v>
      </c>
      <c r="C18" s="139"/>
      <c r="D18" s="139"/>
      <c r="E18" s="139"/>
      <c r="F18" s="140"/>
      <c r="G18" s="69">
        <v>314275.58260456036</v>
      </c>
      <c r="H18" s="14" t="s">
        <v>3</v>
      </c>
      <c r="I18" s="1"/>
    </row>
    <row r="19" spans="1:9" x14ac:dyDescent="0.25">
      <c r="A19" s="1"/>
      <c r="B19" s="135" t="s">
        <v>69</v>
      </c>
      <c r="C19" s="136"/>
      <c r="D19" s="136"/>
      <c r="E19" s="136"/>
      <c r="F19" s="137"/>
      <c r="G19" s="69">
        <f>G17*'Fane 15. Nøgletal'!C21+G18*'Fane 15. Nøgletal'!C22</f>
        <v>1052700.8556642632</v>
      </c>
      <c r="H19" s="14" t="s">
        <v>3</v>
      </c>
      <c r="I19" s="1"/>
    </row>
    <row r="20" spans="1:9" x14ac:dyDescent="0.25">
      <c r="A20" s="1"/>
      <c r="B20" s="32"/>
      <c r="C20" s="27"/>
      <c r="D20" s="27"/>
      <c r="E20" s="27"/>
      <c r="F20" s="27"/>
      <c r="G20" s="71"/>
      <c r="H20" s="19"/>
      <c r="I20" s="1"/>
    </row>
    <row r="21" spans="1:9" x14ac:dyDescent="0.25">
      <c r="A21" s="1"/>
      <c r="B21" s="1"/>
      <c r="C21" s="1"/>
      <c r="D21" s="1"/>
      <c r="E21" s="1"/>
      <c r="F21" s="1"/>
      <c r="G21" s="72"/>
      <c r="H21" s="1"/>
      <c r="I21" s="1"/>
    </row>
    <row r="22" spans="1:9" x14ac:dyDescent="0.25">
      <c r="A22" s="1"/>
      <c r="B22" s="125" t="s">
        <v>70</v>
      </c>
      <c r="C22" s="126"/>
      <c r="D22" s="126"/>
      <c r="E22" s="126"/>
      <c r="F22" s="126"/>
      <c r="G22" s="134"/>
      <c r="H22" s="127"/>
      <c r="I22" s="1"/>
    </row>
    <row r="23" spans="1:9" x14ac:dyDescent="0.25">
      <c r="A23" s="1"/>
      <c r="B23" s="135" t="s">
        <v>71</v>
      </c>
      <c r="C23" s="136"/>
      <c r="D23" s="136"/>
      <c r="E23" s="136"/>
      <c r="F23" s="137"/>
      <c r="G23" s="69">
        <f>(G17+G18-G19)*(1+'Fane 15. Nøgletal'!C12)</f>
        <v>59735784.882399268</v>
      </c>
      <c r="H23" s="14" t="s">
        <v>3</v>
      </c>
      <c r="I23" s="1"/>
    </row>
    <row r="24" spans="1:9" x14ac:dyDescent="0.25">
      <c r="A24" s="1"/>
      <c r="B24" s="138" t="s">
        <v>72</v>
      </c>
      <c r="C24" s="139"/>
      <c r="D24" s="139"/>
      <c r="E24" s="139"/>
      <c r="F24" s="140"/>
      <c r="G24" s="69">
        <v>104282.15282618187</v>
      </c>
      <c r="H24" s="14" t="s">
        <v>3</v>
      </c>
      <c r="I24" s="1"/>
    </row>
    <row r="25" spans="1:9" x14ac:dyDescent="0.25">
      <c r="A25" s="1"/>
      <c r="B25" s="135" t="s">
        <v>73</v>
      </c>
      <c r="C25" s="136"/>
      <c r="D25" s="136"/>
      <c r="E25" s="136"/>
      <c r="F25" s="137"/>
      <c r="G25" s="69">
        <f>(G23+G24)*'Fane 15. Nøgletal'!C23</f>
        <v>1699457.903800403</v>
      </c>
      <c r="H25" s="14" t="s">
        <v>3</v>
      </c>
      <c r="I25" s="1"/>
    </row>
    <row r="26" spans="1:9" x14ac:dyDescent="0.25">
      <c r="A26" s="1"/>
      <c r="B26" s="32"/>
      <c r="C26" s="27"/>
      <c r="D26" s="27"/>
      <c r="E26" s="27"/>
      <c r="F26" s="27"/>
      <c r="G26" s="71"/>
      <c r="H26" s="19"/>
      <c r="I26" s="1"/>
    </row>
    <row r="27" spans="1:9" x14ac:dyDescent="0.25">
      <c r="A27" s="1"/>
      <c r="B27" s="1"/>
      <c r="C27" s="1"/>
      <c r="D27" s="1"/>
      <c r="E27" s="1"/>
      <c r="F27" s="1"/>
      <c r="G27" s="72"/>
      <c r="H27" s="1"/>
      <c r="I27" s="1"/>
    </row>
    <row r="28" spans="1:9" x14ac:dyDescent="0.25">
      <c r="A28" s="1"/>
      <c r="B28" s="125" t="s">
        <v>74</v>
      </c>
      <c r="C28" s="126"/>
      <c r="D28" s="126"/>
      <c r="E28" s="126"/>
      <c r="F28" s="126"/>
      <c r="G28" s="134"/>
      <c r="H28" s="127"/>
      <c r="I28" s="1"/>
    </row>
    <row r="29" spans="1:9" x14ac:dyDescent="0.25">
      <c r="A29" s="1"/>
      <c r="B29" s="135" t="s">
        <v>75</v>
      </c>
      <c r="C29" s="136"/>
      <c r="D29" s="136"/>
      <c r="E29" s="136"/>
      <c r="F29" s="137"/>
      <c r="G29" s="69">
        <f>(G23+G24-G25)*(1+'Fane 15. Nøgletal'!C12)</f>
        <v>59285979.131314121</v>
      </c>
      <c r="H29" s="14" t="s">
        <v>3</v>
      </c>
      <c r="I29" s="1"/>
    </row>
    <row r="30" spans="1:9" x14ac:dyDescent="0.25">
      <c r="A30" s="1"/>
      <c r="B30" s="135" t="s">
        <v>139</v>
      </c>
      <c r="C30" s="136"/>
      <c r="D30" s="136"/>
      <c r="E30" s="136"/>
      <c r="F30" s="137"/>
      <c r="G30" s="69">
        <v>250608.74445935999</v>
      </c>
      <c r="H30" s="14" t="s">
        <v>3</v>
      </c>
      <c r="I30" s="1"/>
    </row>
    <row r="31" spans="1:9" x14ac:dyDescent="0.25">
      <c r="A31" s="1"/>
      <c r="B31" s="135" t="s">
        <v>76</v>
      </c>
      <c r="C31" s="136"/>
      <c r="D31" s="136"/>
      <c r="E31" s="136"/>
      <c r="F31" s="137"/>
      <c r="G31" s="69">
        <f>G29*'Fane 15. Nøgletal'!C23+G30*'Fane 15. Nøgletal'!C24</f>
        <v>1690613.5478019535</v>
      </c>
      <c r="H31" s="14" t="s">
        <v>3</v>
      </c>
      <c r="I31" s="1"/>
    </row>
    <row r="32" spans="1:9" x14ac:dyDescent="0.25">
      <c r="A32" s="1"/>
      <c r="B32" s="32"/>
      <c r="C32" s="27"/>
      <c r="D32" s="27"/>
      <c r="E32" s="27"/>
      <c r="F32" s="27"/>
      <c r="G32" s="71"/>
      <c r="H32" s="19"/>
      <c r="I32" s="1"/>
    </row>
    <row r="33" spans="1:9" x14ac:dyDescent="0.25">
      <c r="A33" s="1"/>
      <c r="B33" s="1"/>
      <c r="C33" s="1"/>
      <c r="D33" s="1"/>
      <c r="E33" s="1"/>
      <c r="F33" s="1"/>
      <c r="G33" s="72"/>
      <c r="H33" s="1"/>
      <c r="I33" s="1"/>
    </row>
    <row r="34" spans="1:9" x14ac:dyDescent="0.25">
      <c r="A34" s="1"/>
      <c r="B34" s="125" t="s">
        <v>165</v>
      </c>
      <c r="C34" s="126"/>
      <c r="D34" s="126"/>
      <c r="E34" s="126"/>
      <c r="F34" s="126"/>
      <c r="G34" s="134"/>
      <c r="H34" s="127"/>
      <c r="I34" s="1"/>
    </row>
    <row r="35" spans="1:9" x14ac:dyDescent="0.25">
      <c r="A35" s="1"/>
      <c r="B35" s="135" t="s">
        <v>78</v>
      </c>
      <c r="C35" s="136"/>
      <c r="D35" s="136"/>
      <c r="E35" s="136"/>
      <c r="F35" s="137"/>
      <c r="G35" s="69">
        <f>(G29+G30-G31)*(1+'Fane 15. Nøgletal'!C14)</f>
        <v>58036866.043253839</v>
      </c>
      <c r="H35" s="14" t="s">
        <v>3</v>
      </c>
      <c r="I35" s="1"/>
    </row>
    <row r="36" spans="1:9" x14ac:dyDescent="0.25">
      <c r="A36" s="1"/>
      <c r="B36" s="135" t="s">
        <v>167</v>
      </c>
      <c r="C36" s="136"/>
      <c r="D36" s="136"/>
      <c r="E36" s="136"/>
      <c r="F36" s="137"/>
      <c r="G36" s="69">
        <v>0</v>
      </c>
      <c r="H36" s="14" t="s">
        <v>3</v>
      </c>
      <c r="I36" s="1"/>
    </row>
    <row r="37" spans="1:9" x14ac:dyDescent="0.25">
      <c r="A37" s="1"/>
      <c r="B37" s="135" t="s">
        <v>166</v>
      </c>
      <c r="C37" s="136"/>
      <c r="D37" s="136"/>
      <c r="E37" s="136"/>
      <c r="F37" s="137"/>
      <c r="G37" s="69">
        <f>(G35+G36)*'Fane 15. Nøgletal'!C25</f>
        <v>858945.61744015687</v>
      </c>
      <c r="H37" s="14" t="s">
        <v>3</v>
      </c>
      <c r="I37" s="1"/>
    </row>
    <row r="38" spans="1:9" x14ac:dyDescent="0.25">
      <c r="A38" s="1"/>
      <c r="B38" s="32"/>
      <c r="C38" s="27"/>
      <c r="D38" s="27"/>
      <c r="E38" s="27"/>
      <c r="F38" s="27"/>
      <c r="G38" s="71"/>
      <c r="H38" s="19"/>
      <c r="I38" s="1"/>
    </row>
    <row r="39" spans="1:9" x14ac:dyDescent="0.25">
      <c r="A39" s="1"/>
      <c r="B39" s="1"/>
      <c r="C39" s="1"/>
      <c r="D39" s="1"/>
      <c r="E39" s="1"/>
      <c r="F39" s="1"/>
      <c r="G39" s="72"/>
      <c r="H39" s="1"/>
      <c r="I39" s="1"/>
    </row>
    <row r="40" spans="1:9" x14ac:dyDescent="0.25">
      <c r="A40" s="1"/>
      <c r="B40" s="125" t="s">
        <v>223</v>
      </c>
      <c r="C40" s="126"/>
      <c r="D40" s="126"/>
      <c r="E40" s="126"/>
      <c r="F40" s="126"/>
      <c r="G40" s="134"/>
      <c r="H40" s="127"/>
      <c r="I40" s="1"/>
    </row>
    <row r="41" spans="1:9" x14ac:dyDescent="0.25">
      <c r="A41" s="1"/>
      <c r="B41" s="135" t="s">
        <v>77</v>
      </c>
      <c r="C41" s="136"/>
      <c r="D41" s="136"/>
      <c r="E41" s="136"/>
      <c r="F41" s="137"/>
      <c r="G41" s="69">
        <f>(G35+G36-G37)*(1+'Fane 15. Nøgletal'!C14)</f>
        <v>57366607.563218869</v>
      </c>
      <c r="H41" s="14" t="s">
        <v>3</v>
      </c>
      <c r="I41" s="1"/>
    </row>
    <row r="42" spans="1:9" x14ac:dyDescent="0.25">
      <c r="A42" s="1"/>
      <c r="B42" s="43" t="s">
        <v>231</v>
      </c>
      <c r="C42" s="85"/>
      <c r="D42" s="85"/>
      <c r="E42" s="85"/>
      <c r="F42" s="86"/>
      <c r="G42" s="73">
        <f>('Fane 2.1. Økonomisk ramme 2023'!C11+'Fane 2.1. Økonomisk ramme 2023'!C13+'Fane 2.1. Økonomisk ramme 2023'!C15)*(1+'Fane 15. Nøgletal'!C15)</f>
        <v>0</v>
      </c>
      <c r="H42" s="14" t="s">
        <v>3</v>
      </c>
      <c r="I42" s="1"/>
    </row>
    <row r="43" spans="1:9" x14ac:dyDescent="0.25">
      <c r="A43" s="1"/>
      <c r="B43" s="135" t="s">
        <v>168</v>
      </c>
      <c r="C43" s="136"/>
      <c r="D43" s="136"/>
      <c r="E43" s="136"/>
      <c r="F43" s="137"/>
      <c r="G43" s="69">
        <f>(G41)*'Fane 15. Nøgletal'!C25+G42*'Fane 15. Nøgletal'!C26</f>
        <v>849025.79193563934</v>
      </c>
      <c r="H43" s="14" t="s">
        <v>3</v>
      </c>
      <c r="I43" s="1"/>
    </row>
    <row r="44" spans="1:9" x14ac:dyDescent="0.25">
      <c r="A44" s="1"/>
      <c r="B44" s="32"/>
      <c r="C44" s="27"/>
      <c r="D44" s="27"/>
      <c r="E44" s="27"/>
      <c r="F44" s="27"/>
      <c r="G44" s="71"/>
      <c r="H44" s="19"/>
      <c r="I44" s="1"/>
    </row>
    <row r="45" spans="1:9" x14ac:dyDescent="0.25">
      <c r="A45" s="1"/>
      <c r="B45" s="1"/>
      <c r="C45" s="1"/>
      <c r="D45" s="1"/>
      <c r="E45" s="1"/>
      <c r="F45" s="1"/>
      <c r="G45" s="72"/>
      <c r="H45" s="1"/>
      <c r="I45" s="1"/>
    </row>
    <row r="46" spans="1:9" x14ac:dyDescent="0.25">
      <c r="A46" s="1"/>
      <c r="B46" s="1"/>
      <c r="C46" s="1"/>
      <c r="D46" s="1"/>
      <c r="E46" s="1"/>
      <c r="F46" s="1"/>
      <c r="G46" s="72"/>
      <c r="H46" s="1"/>
      <c r="I46" s="1"/>
    </row>
    <row r="47" spans="1:9" x14ac:dyDescent="0.25">
      <c r="A47" s="1"/>
      <c r="B47" s="1"/>
      <c r="C47" s="1"/>
      <c r="D47" s="1"/>
      <c r="E47" s="1"/>
      <c r="F47" s="1"/>
      <c r="G47" s="72"/>
      <c r="H47" s="1"/>
      <c r="I47" s="1"/>
    </row>
    <row r="48" spans="1:9" x14ac:dyDescent="0.25">
      <c r="A48" s="1"/>
      <c r="B48" s="1"/>
      <c r="C48" s="1"/>
      <c r="D48" s="1"/>
      <c r="E48" s="1"/>
      <c r="F48" s="1"/>
      <c r="G48" s="72"/>
      <c r="H48" s="1"/>
      <c r="I48" s="1"/>
    </row>
    <row r="49" spans="1:9" x14ac:dyDescent="0.25">
      <c r="A49" s="1"/>
      <c r="B49" s="1"/>
      <c r="C49" s="1"/>
      <c r="D49" s="1"/>
      <c r="E49" s="1"/>
      <c r="F49" s="1"/>
      <c r="G49" s="72"/>
      <c r="H49" s="1"/>
      <c r="I49" s="1"/>
    </row>
    <row r="50" spans="1:9" x14ac:dyDescent="0.25">
      <c r="A50" s="1"/>
      <c r="B50" s="1"/>
      <c r="C50" s="1"/>
      <c r="D50" s="1"/>
      <c r="E50" s="1"/>
      <c r="F50" s="1"/>
      <c r="G50" s="72"/>
      <c r="H50" s="1"/>
      <c r="I50" s="1"/>
    </row>
    <row r="51" spans="1:9" x14ac:dyDescent="0.25">
      <c r="A51" s="1"/>
      <c r="B51" s="1"/>
      <c r="C51" s="1"/>
      <c r="D51" s="1"/>
      <c r="E51" s="1"/>
      <c r="F51" s="1"/>
      <c r="G51" s="72"/>
      <c r="H51" s="1"/>
      <c r="I51" s="1"/>
    </row>
    <row r="52" spans="1:9" x14ac:dyDescent="0.25">
      <c r="A52" s="1"/>
      <c r="B52" s="125" t="s">
        <v>244</v>
      </c>
      <c r="C52" s="126"/>
      <c r="D52" s="126"/>
      <c r="E52" s="126"/>
      <c r="F52" s="126"/>
      <c r="G52" s="134"/>
      <c r="H52" s="127"/>
      <c r="I52" s="1"/>
    </row>
    <row r="53" spans="1:9" x14ac:dyDescent="0.25">
      <c r="A53" s="1"/>
      <c r="B53" s="135" t="s">
        <v>140</v>
      </c>
      <c r="C53" s="136"/>
      <c r="D53" s="136"/>
      <c r="E53" s="136"/>
      <c r="F53" s="137"/>
      <c r="G53" s="69">
        <f>(G41+G42-G43)*(1+'Fane 15. Nøgletal'!C15)</f>
        <v>58529607.68234092</v>
      </c>
      <c r="H53" s="14" t="s">
        <v>3</v>
      </c>
      <c r="I53" s="1"/>
    </row>
    <row r="54" spans="1:9" x14ac:dyDescent="0.25">
      <c r="A54" s="1"/>
      <c r="B54" s="135" t="s">
        <v>141</v>
      </c>
      <c r="C54" s="136"/>
      <c r="D54" s="136"/>
      <c r="E54" s="136"/>
      <c r="F54" s="137"/>
      <c r="G54" s="69">
        <f>(G53)*'Fane 15. Nøgletal'!C26</f>
        <v>0</v>
      </c>
      <c r="H54" s="14" t="s">
        <v>3</v>
      </c>
      <c r="I54" s="1"/>
    </row>
    <row r="55" spans="1:9" x14ac:dyDescent="0.25">
      <c r="A55" s="1"/>
      <c r="B55" s="32"/>
      <c r="C55" s="27"/>
      <c r="D55" s="27"/>
      <c r="E55" s="27"/>
      <c r="F55" s="27"/>
      <c r="G55" s="71"/>
      <c r="H55" s="19"/>
      <c r="I55" s="1"/>
    </row>
    <row r="56" spans="1:9" x14ac:dyDescent="0.25">
      <c r="A56" s="1"/>
      <c r="B56" s="1"/>
      <c r="C56" s="1"/>
      <c r="D56" s="1"/>
      <c r="E56" s="1"/>
      <c r="F56" s="1"/>
      <c r="G56" s="72"/>
      <c r="H56" s="1"/>
      <c r="I56" s="1"/>
    </row>
    <row r="57" spans="1:9" x14ac:dyDescent="0.25">
      <c r="A57" s="1"/>
      <c r="B57" s="125" t="s">
        <v>153</v>
      </c>
      <c r="C57" s="126"/>
      <c r="D57" s="126"/>
      <c r="E57" s="126"/>
      <c r="F57" s="126"/>
      <c r="G57" s="134"/>
      <c r="H57" s="127"/>
      <c r="I57" s="1"/>
    </row>
    <row r="58" spans="1:9" x14ac:dyDescent="0.25">
      <c r="A58" s="1"/>
      <c r="B58" s="135" t="s">
        <v>173</v>
      </c>
      <c r="C58" s="136"/>
      <c r="D58" s="136"/>
      <c r="E58" s="136"/>
      <c r="F58" s="137"/>
      <c r="G58" s="69">
        <f>(G53-G54)*(1+'Fane 15. Nøgletal'!C15)</f>
        <v>60613261.715832263</v>
      </c>
      <c r="H58" s="14" t="s">
        <v>3</v>
      </c>
      <c r="I58" s="1"/>
    </row>
    <row r="59" spans="1:9" x14ac:dyDescent="0.25">
      <c r="A59" s="1"/>
      <c r="B59" s="135" t="s">
        <v>174</v>
      </c>
      <c r="C59" s="136"/>
      <c r="D59" s="136"/>
      <c r="E59" s="136"/>
      <c r="F59" s="137"/>
      <c r="G59" s="69">
        <f>(G58)*'Fane 15. Nøgletal'!C26</f>
        <v>0</v>
      </c>
      <c r="H59" s="14" t="s">
        <v>3</v>
      </c>
      <c r="I59" s="1"/>
    </row>
    <row r="60" spans="1:9" x14ac:dyDescent="0.25">
      <c r="A60" s="1"/>
      <c r="B60" s="32"/>
      <c r="C60" s="27"/>
      <c r="D60" s="27"/>
      <c r="E60" s="27"/>
      <c r="F60" s="27"/>
      <c r="G60" s="71"/>
      <c r="H60" s="19"/>
      <c r="I60" s="1"/>
    </row>
    <row r="61" spans="1:9" x14ac:dyDescent="0.25">
      <c r="A61" s="1"/>
      <c r="B61" s="1"/>
      <c r="C61" s="1"/>
      <c r="D61" s="1"/>
      <c r="E61" s="1"/>
      <c r="F61" s="1"/>
      <c r="G61" s="72"/>
      <c r="H61" s="1"/>
      <c r="I61" s="1"/>
    </row>
    <row r="62" spans="1:9" x14ac:dyDescent="0.25">
      <c r="A62" s="1"/>
      <c r="B62" s="125" t="s">
        <v>197</v>
      </c>
      <c r="C62" s="126"/>
      <c r="D62" s="126"/>
      <c r="E62" s="126"/>
      <c r="F62" s="126"/>
      <c r="G62" s="134"/>
      <c r="H62" s="127"/>
      <c r="I62" s="1"/>
    </row>
    <row r="63" spans="1:9" x14ac:dyDescent="0.25">
      <c r="A63" s="1"/>
      <c r="B63" s="135" t="s">
        <v>198</v>
      </c>
      <c r="C63" s="136"/>
      <c r="D63" s="136"/>
      <c r="E63" s="136"/>
      <c r="F63" s="137"/>
      <c r="G63" s="69">
        <f>(G58-G59)*(1+'Fane 15. Nøgletal'!C15)</f>
        <v>62771093.832915895</v>
      </c>
      <c r="H63" s="14" t="s">
        <v>3</v>
      </c>
      <c r="I63" s="1"/>
    </row>
    <row r="64" spans="1:9" x14ac:dyDescent="0.25">
      <c r="A64" s="1"/>
      <c r="B64" s="135" t="s">
        <v>199</v>
      </c>
      <c r="C64" s="136"/>
      <c r="D64" s="136"/>
      <c r="E64" s="136"/>
      <c r="F64" s="137"/>
      <c r="G64" s="69">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1b3K+dzgot06CiR3eH24rurk02Ykcp80UstErUpMdSWQIOgJ+r8zlrSBEsr3fgwTDJWnTiRzynQ1ukrIFd4hRg==" saltValue="l3C+F8soINQq9gPOz1alcw==" spinCount="100000" sheet="1" objects="1" scenarios="1"/>
  <mergeCells count="37">
    <mergeCell ref="B57:H57"/>
    <mergeCell ref="B58:F58"/>
    <mergeCell ref="B59:F59"/>
    <mergeCell ref="B41:F41"/>
    <mergeCell ref="B37:F37"/>
    <mergeCell ref="B40:H40"/>
    <mergeCell ref="B18:F18"/>
    <mergeCell ref="B30:F30"/>
    <mergeCell ref="B22:H22"/>
    <mergeCell ref="B28:H28"/>
    <mergeCell ref="B29:F29"/>
    <mergeCell ref="B31:F31"/>
    <mergeCell ref="B34:H34"/>
    <mergeCell ref="B36:F36"/>
    <mergeCell ref="B24:F24"/>
    <mergeCell ref="B25:F25"/>
    <mergeCell ref="B10:F10"/>
    <mergeCell ref="B12:F12"/>
    <mergeCell ref="B13:F13"/>
    <mergeCell ref="B16:H16"/>
    <mergeCell ref="B17:F1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7" t="s">
        <v>88</v>
      </c>
      <c r="C3" s="117"/>
      <c r="D3" s="117"/>
      <c r="E3" s="117"/>
      <c r="F3" s="117"/>
      <c r="G3" s="117"/>
      <c r="H3" s="1"/>
    </row>
    <row r="4" spans="1:8" ht="15" customHeight="1" x14ac:dyDescent="0.25">
      <c r="A4" s="1"/>
      <c r="B4" s="117"/>
      <c r="C4" s="117"/>
      <c r="D4" s="117"/>
      <c r="E4" s="117"/>
      <c r="F4" s="117"/>
      <c r="G4" s="11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47" t="s">
        <v>10</v>
      </c>
      <c r="C8" s="147"/>
      <c r="D8" s="147"/>
      <c r="E8" s="147"/>
      <c r="F8" s="147"/>
      <c r="G8" s="147"/>
      <c r="H8" s="1"/>
    </row>
    <row r="9" spans="1:8" x14ac:dyDescent="0.25">
      <c r="A9" s="1"/>
      <c r="B9" s="148" t="s">
        <v>154</v>
      </c>
      <c r="C9" s="149"/>
      <c r="D9" s="149"/>
      <c r="E9" s="149"/>
      <c r="F9" s="149"/>
      <c r="G9" s="35">
        <v>8.9208314026200716E-3</v>
      </c>
      <c r="H9" s="1"/>
    </row>
    <row r="10" spans="1:8" x14ac:dyDescent="0.25">
      <c r="A10" s="1"/>
      <c r="B10" s="150"/>
      <c r="C10" s="151"/>
      <c r="D10" s="151"/>
      <c r="E10" s="151"/>
      <c r="F10" s="151"/>
      <c r="G10" s="152"/>
      <c r="H10" s="1"/>
    </row>
    <row r="11" spans="1:8" ht="29.25" customHeight="1" x14ac:dyDescent="0.25">
      <c r="A11" s="1"/>
      <c r="B11" s="146" t="s">
        <v>238</v>
      </c>
      <c r="C11" s="146"/>
      <c r="D11" s="146"/>
      <c r="E11" s="146"/>
      <c r="F11" s="146"/>
      <c r="G11" s="146"/>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yy2Yx+evWMSNeT15NSOoFFjbH3qzE5YeFRhMzLtu7LNthM0kmQxO4wLyjzlCleeQdLBW8WwGPgY9Vtz1T9UE2w==" saltValue="zjvEWDi39Tpu+ZvjsAjz+g==" spinCount="100000" sheet="1" objects="1" scenarios="1"/>
  <mergeCells count="5">
    <mergeCell ref="B11:G11"/>
    <mergeCell ref="B3:G4"/>
    <mergeCell ref="B8:G8"/>
    <mergeCell ref="B9:F9"/>
    <mergeCell ref="B10:G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Vera Høyer Moesgaard</cp:lastModifiedBy>
  <cp:lastPrinted>2016-06-14T12:57:30Z</cp:lastPrinted>
  <dcterms:created xsi:type="dcterms:W3CDTF">2016-06-02T08:51:18Z</dcterms:created>
  <dcterms:modified xsi:type="dcterms:W3CDTF">2023-11-10T22:18:17Z</dcterms:modified>
</cp:coreProperties>
</file>