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JYLLINGE VANDVÆRK A.M.B.A (V110)\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3" i="10" l="1"/>
  <c r="C14" i="10" s="1"/>
  <c r="E13" i="5"/>
  <c r="E13" i="4"/>
  <c r="E13" i="3"/>
  <c r="E22" i="6"/>
  <c r="E15" i="6" l="1"/>
  <c r="E16" i="6" s="1"/>
  <c r="E9" i="2" l="1"/>
  <c r="E28" i="6"/>
  <c r="E12" i="13"/>
  <c r="E13" i="13" s="1"/>
  <c r="C12" i="13"/>
  <c r="C13" i="13" s="1"/>
  <c r="E11" i="2" l="1"/>
  <c r="E19" i="2" l="1"/>
  <c r="E20" i="2"/>
  <c r="E21" i="2" l="1"/>
  <c r="E22" i="2" s="1"/>
  <c r="E17" i="2" l="1"/>
  <c r="E10" i="10" l="1"/>
  <c r="E13" i="10" l="1"/>
  <c r="E14"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<sst xmlns="http://schemas.openxmlformats.org/spreadsheetml/2006/main" count="323" uniqueCount="154">
  <si>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</si>
  <si>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</si>
  <si>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</si>
  <si>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</si>
  <si>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</si>
  <si>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</si>
  <si>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</si>
  <si>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</si>
  <si>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</si>
  <si>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</si>
  <si>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</si>
  <si>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</si>
  <si>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</si>
  <si>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</si>
  <si>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</si>
  <si>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</si>
  <si>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</si>
  <si>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</si>
  <si>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</si>
  <si>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</si>
  <si>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</si>
  <si>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</si>
  <si>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</si>
  <si>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</si>
  <si>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</si>
  <si>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</si>
  <si>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</si>
  <si>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</si>
  <si>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</si>
  <si>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</si>
  <si>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</si>
  <si>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</si>
  <si>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</si>
  <si>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</si>
  <si>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</si>
  <si>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</si>
  <si>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</si>
  <si>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</si>
  <si>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</si>
  <si>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</si>
  <si>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</si>
  <si>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</si>
  <si>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</si>
  <si>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</si>
  <si>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</si>
  <si>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</si>
  <si>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</si>
  <si>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</si>
  <si>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</si>
  <si>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</si>
  <si>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</si>
  <si>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</si>
  <si>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</si>
  <si>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</si>
  <si>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</si>
  <si>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</si>
  <si>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</si>
  <si>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</si>
  <si>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</si>
  <si>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</si>
  <si>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</si>
  <si>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</si>
  <si>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</si>
  <si>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</si>
  <si>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</si>
  <si>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</si>
  <si>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</si>
  <si>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</si>
  <si>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</si>
  <si>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</si>
  <si>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</si>
  <si>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</si>
  <si>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</si>
  <si>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</si>
  <si>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</si>
  <si>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</si>
  <si>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</si>
  <si>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</si>
  <si>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</si>
  <si>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</si>
  <si>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</si>
  <si>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</si>
  <si>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</si>
  <si>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</si>
  <si>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</si>
  <si>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</si>
  <si>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</si>
  <si>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</si>
  <si>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</si>
  <si>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</si>
  <si>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</si>
  <si>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</si>
  <si>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</si>
  <si>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</si>
  <si>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</si>
  <si>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</si>
  <si>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</si>
  <si>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</si>
  <si>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</si>
  <si>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</si>
  <si>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</si>
  <si>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</si>
  <si>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</si>
  <si>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</si>
  <si>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</si>
  <si>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</si>
  <si>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</si>
  <si>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</si>
  <si>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</si>
  <si>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</si>
  <si>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</si>
  <si>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</si>
  <si>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</si>
  <si>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</si>
  <si>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</si>
  <si>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</si>
  <si>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</si>
  <si>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</si>
  <si>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</si>
  <si>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</si>
  <si>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</si>
  <si>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</si>
  <si>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</si>
  <si>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</si>
  <si>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</si>
  <si>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</si>
  <si>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</si>
  <si>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</si>
  <si>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</si>
  <si>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</si>
  <si>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</si>
  <si>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</si>
  <si>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</si>
  <si>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Anlægsprojekter igangsat senest 1. marts 2016</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</si>
  <si>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</si>
  <si>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</si>
  <si>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</si>
  <si>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</si>
  <si>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</si>
  <si>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</si>
  <si>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</si>
  <si>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</si>
  <si>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</si>
  <si>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</si>
  <si>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</si>
  <si>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Robust vandforsyning</t>
  </si>
  <si>
    <t>Flytning af ledninger - Møllevej</t>
  </si>
  <si>
    <t>Udvidelse af forsyningsområdet - Bromarken</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</si>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</sst>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105</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78</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28</v>
      </c>
      <c r="D15" s="75" t="s">
        <v>64</v>
      </c>
      <c r="E15" s="76"/>
      <c r="F15" s="76"/>
      <c r="G15" s="77"/>
      <c r="H15" s="1"/>
      <c r="I15" s="1"/>
    </row>
    <row r="16" spans="1:9" x14ac:dyDescent="0.25">
      <c r="A16" s="1"/>
      <c r="B16" s="1"/>
      <c r="C16" s="6" t="s">
        <v>29</v>
      </c>
      <c r="D16" s="75" t="s">
        <v>79</v>
      </c>
      <c r="E16" s="76"/>
      <c r="F16" s="76"/>
      <c r="G16" s="77"/>
      <c r="H16" s="1"/>
      <c r="I16" s="1"/>
    </row>
    <row r="17" spans="1:9" x14ac:dyDescent="0.25">
      <c r="A17" s="1"/>
      <c r="B17" s="1"/>
      <c r="C17" s="6" t="s">
        <v>49</v>
      </c>
      <c r="D17" s="75" t="s">
        <v>80</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81</v>
      </c>
      <c r="E19" s="80"/>
      <c r="F19" s="80"/>
      <c r="G19" s="81"/>
      <c r="H19" s="1"/>
      <c r="I19" s="1"/>
    </row>
    <row r="20" spans="1:9" x14ac:dyDescent="0.25">
      <c r="A20" s="1"/>
      <c r="B20" s="1"/>
      <c r="C20" s="6" t="s">
        <v>46</v>
      </c>
      <c r="D20" s="79" t="s">
        <v>113</v>
      </c>
      <c r="E20" s="80"/>
      <c r="F20" s="80"/>
      <c r="G20" s="81"/>
      <c r="H20" s="1"/>
      <c r="I20" s="1"/>
    </row>
    <row r="21" spans="1:9" x14ac:dyDescent="0.25">
      <c r="A21" s="1"/>
      <c r="B21" s="1"/>
      <c r="C21" s="6" t="s">
        <v>153</v>
      </c>
      <c r="D21" s="79" t="s">
        <v>108</v>
      </c>
      <c r="E21" s="80"/>
      <c r="F21" s="80"/>
      <c r="G21" s="81"/>
      <c r="H21" s="1"/>
      <c r="I21" s="1"/>
    </row>
    <row r="22" spans="1:9" x14ac:dyDescent="0.25">
      <c r="A22" s="1"/>
      <c r="B22" s="1"/>
      <c r="C22" s="6" t="s">
        <v>120</v>
      </c>
      <c r="D22" s="79" t="s">
        <v>35</v>
      </c>
      <c r="E22" s="80"/>
      <c r="F22" s="80"/>
      <c r="G22" s="81"/>
      <c r="H22" s="1"/>
      <c r="I22" s="1"/>
    </row>
    <row r="23" spans="1:9" x14ac:dyDescent="0.25">
      <c r="A23" s="1"/>
      <c r="B23" s="1"/>
      <c r="C23" s="6" t="s">
        <v>121</v>
      </c>
      <c r="D23" s="79" t="s">
        <v>36</v>
      </c>
      <c r="E23" s="80"/>
      <c r="F23" s="80"/>
      <c r="G23" s="81"/>
      <c r="H23" s="1"/>
      <c r="I23" s="1"/>
    </row>
    <row r="24" spans="1:9" x14ac:dyDescent="0.25">
      <c r="A24" s="1"/>
      <c r="B24" s="1"/>
      <c r="C24" s="6" t="s">
        <v>9</v>
      </c>
      <c r="D24" s="79" t="s">
        <v>53</v>
      </c>
      <c r="E24" s="80"/>
      <c r="F24" s="80"/>
      <c r="G24" s="81"/>
      <c r="H24" s="1"/>
      <c r="I24" s="1"/>
    </row>
    <row r="25" spans="1:9" x14ac:dyDescent="0.25">
      <c r="A25" s="1"/>
      <c r="B25" s="1"/>
      <c r="C25" s="6" t="s">
        <v>41</v>
      </c>
      <c r="D25" s="79" t="s">
        <v>30</v>
      </c>
      <c r="E25" s="80"/>
      <c r="F25" s="80"/>
      <c r="G25" s="81"/>
      <c r="H25" s="1"/>
      <c r="I25" s="1"/>
    </row>
    <row r="26" spans="1:9" x14ac:dyDescent="0.25">
      <c r="A26" s="1"/>
      <c r="B26" s="1"/>
      <c r="C26" s="6" t="s">
        <v>122</v>
      </c>
      <c r="D26" s="84" t="s">
        <v>47</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z7Uc1Q+UW8AmYwXkDxqE/q7AY88iC18aK/BfYLNUl8mvFDNzDcUNsY+1sQZytpdtJ0NSQyb3KjlF2Rw1HnH8LA==" saltValue="KBkh9BmdWEO6uzEeUDr4B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56" t="s">
        <v>144</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OSHJgZtIEiWgkof0F8RMsteQXyFQYfpRkIx+zxwqKdrwmAXchbLX0ukfmgVulWl9NxXEby7Yw74Hyr0/hf+O1g==" saltValue="/WpOJm5h2l9GER0A6xSkj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62" t="s">
        <v>15</v>
      </c>
      <c r="C9" s="62" t="s">
        <v>10</v>
      </c>
      <c r="D9" s="63"/>
      <c r="E9" s="62" t="s">
        <v>24</v>
      </c>
      <c r="F9" s="72"/>
      <c r="G9" s="1"/>
    </row>
    <row r="10" spans="1:7" x14ac:dyDescent="0.25">
      <c r="A10" s="1"/>
      <c r="B10" s="20" t="s">
        <v>133</v>
      </c>
      <c r="C10" s="19">
        <f>'Fane 7. Anlægsprojekter (§ 19)'!H11</f>
        <v>0</v>
      </c>
      <c r="D10" s="12" t="s">
        <v>3</v>
      </c>
      <c r="E10" s="8">
        <f>SUM('Fane 7. Anlægsprojekter (§ 19)'!F11,'Fane 7. Anlægsprojekter (§ 19)'!J11)</f>
        <v>0</v>
      </c>
      <c r="F10" s="12" t="s">
        <v>3</v>
      </c>
      <c r="G10" s="1"/>
    </row>
    <row r="11" spans="1:7" x14ac:dyDescent="0.25">
      <c r="A11" s="1"/>
      <c r="B11" s="20" t="s">
        <v>146</v>
      </c>
      <c r="C11" s="19">
        <v>0</v>
      </c>
      <c r="D11" s="12" t="s">
        <v>3</v>
      </c>
      <c r="E11" s="8">
        <v>2129</v>
      </c>
      <c r="F11" s="12" t="s">
        <v>3</v>
      </c>
      <c r="G11" s="1"/>
    </row>
    <row r="12" spans="1:7" x14ac:dyDescent="0.25">
      <c r="A12" s="1"/>
      <c r="B12" s="20" t="s">
        <v>147</v>
      </c>
      <c r="C12" s="19">
        <v>0</v>
      </c>
      <c r="D12" s="12" t="s">
        <v>3</v>
      </c>
      <c r="E12" s="8">
        <v>3333</v>
      </c>
      <c r="F12" s="12" t="s">
        <v>3</v>
      </c>
      <c r="G12" s="1"/>
    </row>
    <row r="13" spans="1:7" x14ac:dyDescent="0.25">
      <c r="A13" s="1"/>
      <c r="B13" s="73" t="s">
        <v>67</v>
      </c>
      <c r="C13" s="10">
        <f>SUM(C10:C12)</f>
        <v>0</v>
      </c>
      <c r="D13" s="11" t="s">
        <v>3</v>
      </c>
      <c r="E13" s="10">
        <f>SUM(E10:E12)</f>
        <v>5462</v>
      </c>
      <c r="F13" s="11" t="s">
        <v>3</v>
      </c>
      <c r="G13" s="1"/>
    </row>
    <row r="14" spans="1:7" x14ac:dyDescent="0.25">
      <c r="A14" s="1"/>
      <c r="B14" s="73" t="s">
        <v>98</v>
      </c>
      <c r="C14" s="10">
        <f>C13*(1+'Fane 11. Nøgletal'!C15)</f>
        <v>0</v>
      </c>
      <c r="D14" s="11" t="s">
        <v>3</v>
      </c>
      <c r="E14" s="10">
        <f>E13*(1+'Fane 11. Nøgletal'!C15)</f>
        <v>5656.4472000000005</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3+Y0rO1ulF5SBBqfuFYHVxgAHyT/Gwo9hkiXB6uhMqUgHSzjbmDGWVTle+iv7UTGUxobYVqyTecW8zbQ7ES3A==" saltValue="w7vZHXtMa5GboQVMVcz6F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62" t="s">
        <v>15</v>
      </c>
      <c r="C8" s="62" t="s">
        <v>10</v>
      </c>
      <c r="D8" s="63"/>
      <c r="E8" s="62" t="s">
        <v>24</v>
      </c>
      <c r="F8" s="72"/>
      <c r="G8" s="1"/>
    </row>
    <row r="9" spans="1:7" x14ac:dyDescent="0.25">
      <c r="A9" s="1"/>
      <c r="B9" s="20" t="s">
        <v>145</v>
      </c>
      <c r="C9" s="19">
        <v>257592</v>
      </c>
      <c r="D9" s="12" t="s">
        <v>3</v>
      </c>
      <c r="E9" s="19">
        <v>0</v>
      </c>
      <c r="F9" s="12" t="s">
        <v>3</v>
      </c>
      <c r="G9" s="1"/>
    </row>
    <row r="10" spans="1:7" x14ac:dyDescent="0.25">
      <c r="A10" s="1"/>
      <c r="B10" s="73" t="s">
        <v>107</v>
      </c>
      <c r="C10" s="10">
        <f>SUM(C9:C9)</f>
        <v>257592</v>
      </c>
      <c r="D10" s="11" t="s">
        <v>3</v>
      </c>
      <c r="E10" s="10">
        <f>SUM(E9:E9)</f>
        <v>0</v>
      </c>
      <c r="F10" s="11" t="s">
        <v>3</v>
      </c>
      <c r="G10" s="1"/>
    </row>
    <row r="11" spans="1:7" x14ac:dyDescent="0.25">
      <c r="A11" s="1"/>
      <c r="B11" s="73" t="s">
        <v>60</v>
      </c>
      <c r="C11" s="10">
        <f>C10*(1+'Fane 11. Nøgletal'!C15)^2</f>
        <v>276259.01219712</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bW7UXT4JzDAiVrLgf6yxHplBzK4w03bxASOk1Srw+kFspMsw5TI+yP4trpy/DvXficbxMnI1ra60hbwq1jHkmQ==" saltValue="uV93gwI285ApOfpa6nOym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1" t="s">
        <v>61</v>
      </c>
      <c r="C9" s="130" t="s">
        <v>10</v>
      </c>
      <c r="D9" s="131"/>
      <c r="E9" s="130" t="s">
        <v>24</v>
      </c>
      <c r="F9" s="131"/>
      <c r="G9" s="1"/>
    </row>
    <row r="10" spans="1:7" x14ac:dyDescent="0.25">
      <c r="A10" s="1"/>
      <c r="B10" s="20" t="s">
        <v>134</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ojVO1C265q8nFVpnvzvYWemQtSprOn/o7fhdv+xx0oDfbCvOuLKXoxkh8qIT1x5258Pvc6RT8vF2gfbQi5UVA==" saltValue="iE6VEi1ZPxJgWJ0OPJzplw=="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1" t="s">
        <v>16</v>
      </c>
      <c r="C10" s="71" t="s">
        <v>10</v>
      </c>
      <c r="D10" s="72"/>
      <c r="E10" s="71" t="s">
        <v>24</v>
      </c>
      <c r="F10" s="72"/>
      <c r="G10" s="1"/>
    </row>
    <row r="11" spans="1:7" x14ac:dyDescent="0.25">
      <c r="A11" s="1"/>
      <c r="B11" s="20" t="s">
        <v>135</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Tx5CcdFZGLJxzqchhl9xDc/al7+HqOnr6Jn94giwrHzjmWa1RHC1jw6gpz5jobcXIsX0CXPFi2ce6IYXNstTg==" saltValue="odX87JZOW8m4UL9tbdj0g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25.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hIdtpMp1gY8JiIwHPdbfHa/c8gk7AAKszE0C0OJTluaL7Oe7aw8b8iUYLxRkkvcgYF2uTOsSK5ShDDXyZ2N5NA==" saltValue="H03GEyjmRzBxweCGVkpnK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12</v>
      </c>
      <c r="C8" s="57"/>
      <c r="D8" s="57"/>
      <c r="E8" s="57"/>
      <c r="F8" s="57"/>
      <c r="G8" s="1"/>
    </row>
    <row r="9" spans="1:7" x14ac:dyDescent="0.25">
      <c r="A9" s="1"/>
      <c r="B9" s="54" t="s">
        <v>55</v>
      </c>
      <c r="C9" s="54"/>
      <c r="D9" s="54"/>
      <c r="E9" s="7">
        <f>'Fane 3. Omkostninger i ØR2022'!E16</f>
        <v>4063123.8314291188</v>
      </c>
      <c r="F9" s="54" t="s">
        <v>3</v>
      </c>
      <c r="G9" s="1"/>
    </row>
    <row r="10" spans="1:7" ht="17.100000000000001" customHeight="1" x14ac:dyDescent="0.25">
      <c r="A10" s="1"/>
      <c r="B10" s="24" t="s">
        <v>50</v>
      </c>
      <c r="C10" s="54"/>
      <c r="D10" s="54"/>
      <c r="E10" s="7">
        <f>'Fane 8.1. Varige tillæg'!C14+'Fane 8.1. Varige tillæg'!E14</f>
        <v>5656.4472000000005</v>
      </c>
      <c r="F10" s="54" t="s">
        <v>3</v>
      </c>
      <c r="G10" s="1"/>
    </row>
    <row r="11" spans="1:7" ht="17.100000000000001" customHeight="1" x14ac:dyDescent="0.25">
      <c r="A11" s="1"/>
      <c r="B11" s="24" t="s">
        <v>52</v>
      </c>
      <c r="C11" s="54"/>
      <c r="D11" s="54"/>
      <c r="E11" s="8">
        <f>-('Fane 10. Bortfald'!C13+'Fane 10. Bortfald'!E13)</f>
        <v>0</v>
      </c>
      <c r="F11" s="54" t="s">
        <v>3</v>
      </c>
      <c r="G11" s="1"/>
    </row>
    <row r="12" spans="1:7" ht="17.100000000000001" customHeight="1" x14ac:dyDescent="0.25">
      <c r="A12" s="1"/>
      <c r="B12" s="24" t="s">
        <v>54</v>
      </c>
      <c r="C12" s="54"/>
      <c r="D12" s="54"/>
      <c r="E12" s="8">
        <f>'Fane 9. Tilknyttet virksomhed'!C12+'Fane 9. Tilknyttet virksomhed'!E12</f>
        <v>0</v>
      </c>
      <c r="F12" s="54" t="s">
        <v>3</v>
      </c>
      <c r="G12" s="1"/>
    </row>
    <row r="13" spans="1:7" ht="17.100000000000001" customHeight="1" x14ac:dyDescent="0.25">
      <c r="A13" s="1"/>
      <c r="B13" s="24" t="s">
        <v>17</v>
      </c>
      <c r="C13" s="54"/>
      <c r="D13" s="54"/>
      <c r="E13" s="8">
        <f>SUM(E9:E12)*'Fane 11. Nøgletal'!C15</f>
        <v>144848.57791919663</v>
      </c>
      <c r="F13" s="54" t="s">
        <v>3</v>
      </c>
      <c r="G13" s="1"/>
    </row>
    <row r="14" spans="1:7" ht="17.100000000000001" customHeight="1" x14ac:dyDescent="0.25">
      <c r="A14" s="1"/>
      <c r="B14" s="24" t="s">
        <v>44</v>
      </c>
      <c r="C14" s="54"/>
      <c r="D14" s="54"/>
      <c r="E14" s="8">
        <f>-SUM(E9,E10:E13)*'Fane 11. Nøgletal'!C20</f>
        <v>-71631.69056132136</v>
      </c>
      <c r="F14" s="54" t="s">
        <v>3</v>
      </c>
      <c r="G14" s="1"/>
    </row>
    <row r="15" spans="1:7" ht="15" customHeight="1" x14ac:dyDescent="0.25">
      <c r="A15" s="1"/>
      <c r="B15" s="67" t="s">
        <v>19</v>
      </c>
      <c r="C15" s="28"/>
      <c r="D15" s="28"/>
      <c r="E15" s="9">
        <f>SUM(E9,E10:E14)</f>
        <v>4141997.1659869934</v>
      </c>
      <c r="F15" s="58" t="s">
        <v>3</v>
      </c>
      <c r="G15" s="1"/>
    </row>
    <row r="16" spans="1:7" ht="15" customHeight="1" x14ac:dyDescent="0.25">
      <c r="A16" s="1"/>
      <c r="B16" s="57" t="s">
        <v>11</v>
      </c>
      <c r="C16" s="57"/>
      <c r="D16" s="57"/>
      <c r="E16" s="57"/>
      <c r="F16" s="57"/>
      <c r="G16" s="1"/>
    </row>
    <row r="17" spans="1:7" ht="15" customHeight="1" x14ac:dyDescent="0.25">
      <c r="A17" s="1"/>
      <c r="B17" s="58" t="s">
        <v>11</v>
      </c>
      <c r="C17" s="58"/>
      <c r="D17" s="58"/>
      <c r="E17" s="9">
        <f>'Fane 4. Ikke-påvirkelige omk.'!C13</f>
        <v>1573124.0802667201</v>
      </c>
      <c r="F17" s="58" t="s">
        <v>3</v>
      </c>
      <c r="G17" s="1"/>
    </row>
    <row r="18" spans="1:7" ht="15" customHeight="1" x14ac:dyDescent="0.25">
      <c r="A18" s="1"/>
      <c r="B18" s="57" t="s">
        <v>36</v>
      </c>
      <c r="C18" s="57"/>
      <c r="D18" s="57"/>
      <c r="E18" s="57"/>
      <c r="F18" s="57"/>
      <c r="G18" s="1"/>
    </row>
    <row r="19" spans="1:7" ht="15" customHeight="1" x14ac:dyDescent="0.25">
      <c r="A19" s="1"/>
      <c r="B19" s="24" t="s">
        <v>33</v>
      </c>
      <c r="C19" s="54"/>
      <c r="D19" s="54"/>
      <c r="E19" s="8">
        <f>'Fane 8.2. Engangstillæg'!C11</f>
        <v>276259.01219712</v>
      </c>
      <c r="F19" s="54" t="s">
        <v>3</v>
      </c>
      <c r="G19" s="1"/>
    </row>
    <row r="20" spans="1:7" x14ac:dyDescent="0.25">
      <c r="A20" s="1"/>
      <c r="B20" s="24" t="s">
        <v>34</v>
      </c>
      <c r="C20" s="54"/>
      <c r="D20" s="54"/>
      <c r="E20" s="8">
        <f>'Fane 8.2. Engangstillæg'!E11</f>
        <v>0</v>
      </c>
      <c r="F20" s="54" t="s">
        <v>3</v>
      </c>
      <c r="G20" s="1"/>
    </row>
    <row r="21" spans="1:7" x14ac:dyDescent="0.25">
      <c r="A21" s="1"/>
      <c r="B21" s="24" t="s">
        <v>106</v>
      </c>
      <c r="C21" s="54"/>
      <c r="D21" s="54"/>
      <c r="E21" s="8">
        <f>-SUM(E19:E20)*'Fane 11. Nøgletal'!C20</f>
        <v>-4696.4032073510407</v>
      </c>
      <c r="F21" s="54" t="s">
        <v>3</v>
      </c>
      <c r="G21" s="1"/>
    </row>
    <row r="22" spans="1:7" ht="15" customHeight="1" x14ac:dyDescent="0.25">
      <c r="A22" s="1"/>
      <c r="B22" s="67" t="s">
        <v>37</v>
      </c>
      <c r="C22" s="28"/>
      <c r="D22" s="28"/>
      <c r="E22" s="9">
        <f>SUM(E19:E21)</f>
        <v>271562.60898976895</v>
      </c>
      <c r="F22" s="58" t="s">
        <v>3</v>
      </c>
      <c r="G22" s="1"/>
    </row>
    <row r="23" spans="1:7" x14ac:dyDescent="0.25">
      <c r="A23" s="1"/>
      <c r="B23" s="57" t="s">
        <v>62</v>
      </c>
      <c r="C23" s="57"/>
      <c r="D23" s="57"/>
      <c r="E23" s="57"/>
      <c r="F23" s="57"/>
      <c r="G23" s="1"/>
    </row>
    <row r="24" spans="1:7" x14ac:dyDescent="0.25">
      <c r="A24" s="1"/>
      <c r="B24" s="67" t="s">
        <v>63</v>
      </c>
      <c r="C24" s="31"/>
      <c r="D24" s="31"/>
      <c r="E24" s="9">
        <f>'Fane 5. Kontrol af ØR2021'!E30</f>
        <v>-103297.56116240891</v>
      </c>
      <c r="F24" s="58" t="s">
        <v>3</v>
      </c>
      <c r="G24" s="1"/>
    </row>
    <row r="25" spans="1:7" x14ac:dyDescent="0.25">
      <c r="A25" s="1"/>
      <c r="B25" s="57" t="s">
        <v>75</v>
      </c>
      <c r="C25" s="57"/>
      <c r="D25" s="57"/>
      <c r="E25" s="57"/>
      <c r="F25" s="57"/>
      <c r="G25" s="1"/>
    </row>
    <row r="26" spans="1:7" x14ac:dyDescent="0.25">
      <c r="A26" s="1"/>
      <c r="B26" s="58" t="s">
        <v>76</v>
      </c>
      <c r="C26" s="58"/>
      <c r="D26" s="58"/>
      <c r="E26" s="9">
        <f>'Fane 6. Skattesagen'!G12</f>
        <v>0</v>
      </c>
      <c r="F26" s="58" t="s">
        <v>3</v>
      </c>
      <c r="G26" s="1"/>
    </row>
    <row r="27" spans="1:7" x14ac:dyDescent="0.25">
      <c r="A27" s="1"/>
      <c r="B27" s="57" t="s">
        <v>39</v>
      </c>
      <c r="C27" s="57"/>
      <c r="D27" s="57"/>
      <c r="E27" s="10">
        <f>SUM(E15,E17,E22,E24,E26)</f>
        <v>5883386.2940810733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2m7VdaHusi+C21GLQWDdgQVELYnz9o9G6qNWJYKNbMTD0GLXs7gYrzq8U6l1kwXZ0ThgJRKf2Yu6GOxwRje9Dw==" saltValue="TkpdO8Kp/p5WOq3R5ZN3Q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56</v>
      </c>
      <c r="C8" s="54"/>
      <c r="D8" s="54"/>
      <c r="E8" s="7">
        <f>'Fane 2.1. Økonomisk ramme 2023'!E15</f>
        <v>4141997.1659869934</v>
      </c>
      <c r="F8" s="54" t="s">
        <v>3</v>
      </c>
      <c r="G8" s="1"/>
    </row>
    <row r="9" spans="1:7" ht="15" customHeight="1" x14ac:dyDescent="0.25">
      <c r="A9" s="1"/>
      <c r="B9" s="55" t="s">
        <v>17</v>
      </c>
      <c r="C9" s="54"/>
      <c r="D9" s="54"/>
      <c r="E9" s="8">
        <f>SUM(E8:E8)*'Fane 11. Nøgletal'!C15</f>
        <v>147455.09910913697</v>
      </c>
      <c r="F9" s="54" t="s">
        <v>3</v>
      </c>
      <c r="G9" s="1"/>
    </row>
    <row r="10" spans="1:7" ht="15" customHeight="1" x14ac:dyDescent="0.25">
      <c r="A10" s="1"/>
      <c r="B10" s="55" t="s">
        <v>44</v>
      </c>
      <c r="C10" s="54"/>
      <c r="D10" s="54"/>
      <c r="E10" s="8">
        <f>-SUM(E8:E9)*'Fane 11. Nøgletal'!C20</f>
        <v>-72920.688506634207</v>
      </c>
      <c r="F10" s="54" t="s">
        <v>3</v>
      </c>
      <c r="G10" s="1"/>
    </row>
    <row r="11" spans="1:7" ht="15" customHeight="1" x14ac:dyDescent="0.25">
      <c r="A11" s="1"/>
      <c r="B11" s="28" t="s">
        <v>19</v>
      </c>
      <c r="C11" s="28"/>
      <c r="D11" s="28"/>
      <c r="E11" s="9">
        <f>SUM(E8:E10)</f>
        <v>4216531.5765894959</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omk.'!C13*(1+'Fane 11. Nøgletal'!C15)</f>
        <v>1629127.2975242154</v>
      </c>
      <c r="F13" s="58" t="s">
        <v>3</v>
      </c>
      <c r="G13" s="1"/>
    </row>
    <row r="14" spans="1:7" x14ac:dyDescent="0.25">
      <c r="A14" s="1"/>
      <c r="B14" s="57" t="s">
        <v>62</v>
      </c>
      <c r="C14" s="57"/>
      <c r="D14" s="57"/>
      <c r="E14" s="57"/>
      <c r="F14" s="57"/>
      <c r="G14" s="1"/>
    </row>
    <row r="15" spans="1:7" x14ac:dyDescent="0.25">
      <c r="A15" s="1"/>
      <c r="B15" s="58" t="s">
        <v>77</v>
      </c>
      <c r="C15" s="32"/>
      <c r="D15" s="32"/>
      <c r="E15" s="9">
        <f>'Fane 5. Kontrol af ØR2021'!E30</f>
        <v>-103297.56116240891</v>
      </c>
      <c r="F15" s="58" t="s">
        <v>3</v>
      </c>
      <c r="G15" s="1"/>
    </row>
    <row r="16" spans="1:7" x14ac:dyDescent="0.25">
      <c r="A16" s="1"/>
      <c r="B16" s="57" t="s">
        <v>75</v>
      </c>
      <c r="C16" s="57"/>
      <c r="D16" s="57"/>
      <c r="E16" s="57"/>
      <c r="F16" s="57"/>
      <c r="G16" s="1"/>
    </row>
    <row r="17" spans="1:7" x14ac:dyDescent="0.25">
      <c r="A17" s="1"/>
      <c r="B17" s="58" t="s">
        <v>76</v>
      </c>
      <c r="C17" s="58"/>
      <c r="D17" s="58"/>
      <c r="E17" s="9">
        <f>'Fane 6. Skattesagen'!G13</f>
        <v>0</v>
      </c>
      <c r="F17" s="58" t="s">
        <v>3</v>
      </c>
      <c r="G17" s="1"/>
    </row>
    <row r="18" spans="1:7" x14ac:dyDescent="0.25">
      <c r="A18" s="1"/>
      <c r="B18" s="57" t="s">
        <v>57</v>
      </c>
      <c r="C18" s="57"/>
      <c r="D18" s="57"/>
      <c r="E18" s="10">
        <f>SUM(E11,E13,E15,E17)</f>
        <v>5742361.3129513022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iuhSviCV+nB0bZVDVCRSj6Tm+4kFVBprrXhkLLiF2xZ6DPuugUepKTJge54OaBseh8/weDHwH7SG3OwDth9UFg==" saltValue="J+V+Ivnf1h8i80OjgjmS0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65</v>
      </c>
      <c r="C8" s="54"/>
      <c r="D8" s="54"/>
      <c r="E8" s="7">
        <f>'Fane 2.2. Økonomisk ramme 2024'!E11</f>
        <v>4216531.5765894959</v>
      </c>
      <c r="F8" s="54" t="s">
        <v>3</v>
      </c>
      <c r="G8" s="1"/>
    </row>
    <row r="9" spans="1:7" ht="15" customHeight="1" x14ac:dyDescent="0.25">
      <c r="A9" s="1"/>
      <c r="B9" s="55" t="s">
        <v>17</v>
      </c>
      <c r="C9" s="54"/>
      <c r="D9" s="54"/>
      <c r="E9" s="8">
        <f>SUM(E8:E8)*'Fane 11. Nøgletal'!C15</f>
        <v>150108.52412658604</v>
      </c>
      <c r="F9" s="54" t="s">
        <v>3</v>
      </c>
      <c r="G9" s="1"/>
    </row>
    <row r="10" spans="1:7" ht="15" customHeight="1" x14ac:dyDescent="0.25">
      <c r="A10" s="1"/>
      <c r="B10" s="55" t="s">
        <v>44</v>
      </c>
      <c r="C10" s="54"/>
      <c r="D10" s="54"/>
      <c r="E10" s="8">
        <f>-SUM(E8:E9)*'Fane 11. Nøgletal'!C20</f>
        <v>-74232.881712173403</v>
      </c>
      <c r="F10" s="54" t="s">
        <v>3</v>
      </c>
      <c r="G10" s="1"/>
    </row>
    <row r="11" spans="1:7" x14ac:dyDescent="0.25">
      <c r="A11" s="1"/>
      <c r="B11" s="28" t="s">
        <v>19</v>
      </c>
      <c r="C11" s="28"/>
      <c r="D11" s="28"/>
      <c r="E11" s="9">
        <f>SUM(E8:E10)</f>
        <v>4292407.2190039093</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omk.'!C13*(1+'Fane 11. Nøgletal'!C15)^2</f>
        <v>1687124.2293160777</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Skattesagen'!G14</f>
        <v>0</v>
      </c>
      <c r="F17" s="58" t="s">
        <v>3</v>
      </c>
      <c r="G17" s="1"/>
    </row>
    <row r="18" spans="1:7" x14ac:dyDescent="0.25">
      <c r="A18" s="1"/>
      <c r="B18" s="57" t="s">
        <v>66</v>
      </c>
      <c r="C18" s="57"/>
      <c r="D18" s="57"/>
      <c r="E18" s="10">
        <f>SUM(E11,E13,E15,E17)</f>
        <v>5979531.4483199865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N75dS8QcSji2SQkO8xpUqivcz4q6Vzwe3G5CdtCSD3CVMpYK0UqZkDaZKN1NQHb/J3CmXjlUAtLE+JTx0LZrMQ==" saltValue="CjPslvExfE3XuUSH4EECG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7" t="s">
        <v>12</v>
      </c>
      <c r="C7" s="57"/>
      <c r="D7" s="57"/>
      <c r="E7" s="57"/>
      <c r="F7" s="57"/>
      <c r="G7" s="1"/>
    </row>
    <row r="8" spans="1:7" ht="15" customHeight="1" x14ac:dyDescent="0.25">
      <c r="A8" s="1"/>
      <c r="B8" s="54" t="s">
        <v>86</v>
      </c>
      <c r="C8" s="54"/>
      <c r="D8" s="54"/>
      <c r="E8" s="7">
        <f>'Fane 2.3. Økonomisk ramme 2025'!E11</f>
        <v>4292407.2190039093</v>
      </c>
      <c r="F8" s="54" t="s">
        <v>3</v>
      </c>
      <c r="G8" s="1"/>
    </row>
    <row r="9" spans="1:7" ht="15" customHeight="1" x14ac:dyDescent="0.25">
      <c r="A9" s="1"/>
      <c r="B9" s="55" t="s">
        <v>17</v>
      </c>
      <c r="C9" s="54"/>
      <c r="D9" s="54"/>
      <c r="E9" s="8">
        <f>SUM(E8:E8)*'Fane 11. Nøgletal'!C15</f>
        <v>152809.69699653916</v>
      </c>
      <c r="F9" s="54" t="s">
        <v>3</v>
      </c>
      <c r="G9" s="1"/>
    </row>
    <row r="10" spans="1:7" ht="15" customHeight="1" x14ac:dyDescent="0.25">
      <c r="A10" s="1"/>
      <c r="B10" s="55" t="s">
        <v>44</v>
      </c>
      <c r="C10" s="54"/>
      <c r="D10" s="54"/>
      <c r="E10" s="8">
        <f>-SUM(E8:E9)*'Fane 11. Nøgletal'!C20</f>
        <v>-75568.68757200762</v>
      </c>
      <c r="F10" s="54" t="s">
        <v>3</v>
      </c>
      <c r="G10" s="1"/>
    </row>
    <row r="11" spans="1:7" x14ac:dyDescent="0.25">
      <c r="A11" s="1"/>
      <c r="B11" s="28" t="s">
        <v>19</v>
      </c>
      <c r="C11" s="28"/>
      <c r="D11" s="28"/>
      <c r="E11" s="9">
        <f>SUM(E8:E10)</f>
        <v>4369648.2284284402</v>
      </c>
      <c r="F11" s="58" t="s">
        <v>3</v>
      </c>
      <c r="G11" s="1"/>
    </row>
    <row r="12" spans="1:7" x14ac:dyDescent="0.25">
      <c r="A12" s="1"/>
      <c r="B12" s="57" t="s">
        <v>11</v>
      </c>
      <c r="C12" s="57"/>
      <c r="D12" s="57"/>
      <c r="E12" s="57"/>
      <c r="F12" s="57"/>
      <c r="G12" s="1"/>
    </row>
    <row r="13" spans="1:7" ht="15" customHeight="1" x14ac:dyDescent="0.25">
      <c r="A13" s="1"/>
      <c r="B13" s="58" t="s">
        <v>11</v>
      </c>
      <c r="C13" s="58"/>
      <c r="D13" s="58"/>
      <c r="E13" s="9">
        <f>'Fane 4. Ikke-påvirkelige omk.'!C13*(1+'Fane 11. Nøgletal'!C15)^3</f>
        <v>1747185.8518797301</v>
      </c>
      <c r="F13" s="58" t="s">
        <v>3</v>
      </c>
      <c r="G13" s="1"/>
    </row>
    <row r="14" spans="1:7" ht="15" customHeight="1" x14ac:dyDescent="0.25">
      <c r="A14" s="1"/>
      <c r="B14" s="57" t="s">
        <v>62</v>
      </c>
      <c r="C14" s="57"/>
      <c r="D14" s="57"/>
      <c r="E14" s="57"/>
      <c r="F14" s="57"/>
      <c r="G14" s="1"/>
    </row>
    <row r="15" spans="1:7" ht="15" customHeight="1" x14ac:dyDescent="0.25">
      <c r="A15" s="1"/>
      <c r="B15" s="58" t="s">
        <v>63</v>
      </c>
      <c r="C15" s="32"/>
      <c r="D15" s="32"/>
      <c r="E15" s="9">
        <v>0</v>
      </c>
      <c r="F15" s="58" t="s">
        <v>3</v>
      </c>
      <c r="G15" s="1"/>
    </row>
    <row r="16" spans="1:7" ht="15" customHeight="1" x14ac:dyDescent="0.25">
      <c r="A16" s="1"/>
      <c r="B16" s="57" t="s">
        <v>75</v>
      </c>
      <c r="C16" s="57"/>
      <c r="D16" s="57"/>
      <c r="E16" s="57"/>
      <c r="F16" s="57"/>
      <c r="G16" s="1"/>
    </row>
    <row r="17" spans="1:7" ht="15" customHeight="1" x14ac:dyDescent="0.25">
      <c r="A17" s="1"/>
      <c r="B17" s="58" t="s">
        <v>76</v>
      </c>
      <c r="C17" s="58"/>
      <c r="D17" s="58"/>
      <c r="E17" s="9">
        <f>'Fane 6. Skattesagen'!G15</f>
        <v>0</v>
      </c>
      <c r="F17" s="58" t="s">
        <v>3</v>
      </c>
      <c r="G17" s="1"/>
    </row>
    <row r="18" spans="1:7" x14ac:dyDescent="0.25">
      <c r="A18" s="1"/>
      <c r="B18" s="57" t="s">
        <v>87</v>
      </c>
      <c r="C18" s="57"/>
      <c r="D18" s="57"/>
      <c r="E18" s="10">
        <f>SUM(E11,E13,E15,E17)</f>
        <v>6116834.0803081701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xMpKdMU1C4uioDV03PQwwd98oPHdta1AXLt6rRknyZklhlkHTgTcaZKYv8fItCBPWb3Ln5cLUNx5loy4qIWew==" saltValue="y+6Xp3oNBQQY1t7zWtwIx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88</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7" t="s">
        <v>89</v>
      </c>
      <c r="C8" s="57"/>
      <c r="D8" s="57"/>
      <c r="E8" s="57"/>
      <c r="F8" s="57"/>
      <c r="G8" s="1"/>
    </row>
    <row r="9" spans="1:7" x14ac:dyDescent="0.25">
      <c r="A9" s="1"/>
      <c r="B9" s="107" t="s">
        <v>22</v>
      </c>
      <c r="C9" s="107"/>
      <c r="D9" s="107"/>
      <c r="E9" s="7">
        <v>4083571.9094082895</v>
      </c>
      <c r="F9" s="54" t="s">
        <v>3</v>
      </c>
      <c r="G9" s="1"/>
    </row>
    <row r="10" spans="1:7" x14ac:dyDescent="0.25">
      <c r="A10" s="1"/>
      <c r="B10" s="108" t="s">
        <v>103</v>
      </c>
      <c r="C10" s="109"/>
      <c r="D10" s="110"/>
      <c r="E10" s="7">
        <v>0</v>
      </c>
      <c r="F10" s="54" t="s">
        <v>3</v>
      </c>
      <c r="G10" s="1"/>
    </row>
    <row r="11" spans="1:7" x14ac:dyDescent="0.25">
      <c r="A11" s="1"/>
      <c r="B11" s="93" t="s">
        <v>50</v>
      </c>
      <c r="C11" s="93"/>
      <c r="D11" s="93"/>
      <c r="E11" s="7">
        <v>0</v>
      </c>
      <c r="F11" s="54" t="s">
        <v>3</v>
      </c>
      <c r="G11" s="1"/>
    </row>
    <row r="12" spans="1:7" x14ac:dyDescent="0.25">
      <c r="A12" s="1"/>
      <c r="B12" s="93" t="s">
        <v>54</v>
      </c>
      <c r="C12" s="93"/>
      <c r="D12" s="93"/>
      <c r="E12" s="7">
        <v>0</v>
      </c>
      <c r="F12" s="54" t="s">
        <v>3</v>
      </c>
      <c r="G12" s="1"/>
    </row>
    <row r="13" spans="1:7" x14ac:dyDescent="0.25">
      <c r="A13" s="1"/>
      <c r="B13" s="93" t="s">
        <v>51</v>
      </c>
      <c r="C13" s="93"/>
      <c r="D13" s="93"/>
      <c r="E13" s="8">
        <v>0</v>
      </c>
      <c r="F13" s="54" t="s">
        <v>3</v>
      </c>
      <c r="G13" s="1"/>
    </row>
    <row r="14" spans="1:7" x14ac:dyDescent="0.25">
      <c r="A14" s="1"/>
      <c r="B14" s="93" t="s">
        <v>17</v>
      </c>
      <c r="C14" s="93"/>
      <c r="D14" s="93"/>
      <c r="E14" s="8">
        <f>E9*'Fane 11. Nøgletal'!C13+SUM(E11:E13)*'Fane 11. Nøgletal'!C14</f>
        <v>49819.577294781135</v>
      </c>
      <c r="F14" s="54" t="s">
        <v>3</v>
      </c>
      <c r="G14" s="1"/>
    </row>
    <row r="15" spans="1:7" x14ac:dyDescent="0.25">
      <c r="A15" s="1"/>
      <c r="B15" s="93" t="s">
        <v>44</v>
      </c>
      <c r="C15" s="93"/>
      <c r="D15" s="93"/>
      <c r="E15" s="8">
        <f>-SUM(E9:E14)*'Fane 11. Nøgletal'!C20</f>
        <v>-70267.655273952216</v>
      </c>
      <c r="F15" s="54" t="s">
        <v>3</v>
      </c>
      <c r="G15" s="1"/>
    </row>
    <row r="16" spans="1:7" x14ac:dyDescent="0.25">
      <c r="A16" s="1"/>
      <c r="B16" s="94" t="s">
        <v>19</v>
      </c>
      <c r="C16" s="94"/>
      <c r="D16" s="94"/>
      <c r="E16" s="33">
        <f>SUM(E9:E15)</f>
        <v>4063123.8314291188</v>
      </c>
      <c r="F16" s="34" t="s">
        <v>3</v>
      </c>
      <c r="G16" s="1"/>
    </row>
    <row r="17" spans="1:7" x14ac:dyDescent="0.25">
      <c r="A17" s="1"/>
      <c r="B17" s="95" t="s">
        <v>11</v>
      </c>
      <c r="C17" s="95"/>
      <c r="D17" s="95"/>
      <c r="E17" s="57"/>
      <c r="F17" s="57"/>
      <c r="G17" s="1"/>
    </row>
    <row r="18" spans="1:7" x14ac:dyDescent="0.25">
      <c r="A18" s="1"/>
      <c r="B18" s="96" t="s">
        <v>11</v>
      </c>
      <c r="C18" s="96"/>
      <c r="D18" s="96"/>
      <c r="E18" s="9">
        <v>1464981.2248704003</v>
      </c>
      <c r="F18" s="58" t="s">
        <v>3</v>
      </c>
      <c r="G18" s="1"/>
    </row>
    <row r="19" spans="1:7" ht="15.4" customHeight="1" x14ac:dyDescent="0.25">
      <c r="A19" s="1"/>
      <c r="B19" s="57" t="s">
        <v>36</v>
      </c>
      <c r="C19" s="57"/>
      <c r="D19" s="57"/>
      <c r="E19" s="57"/>
      <c r="F19" s="57"/>
      <c r="G19" s="1"/>
    </row>
    <row r="20" spans="1:7" ht="15.75" customHeight="1" x14ac:dyDescent="0.25">
      <c r="A20" s="1"/>
      <c r="B20" s="97" t="s">
        <v>33</v>
      </c>
      <c r="C20" s="98"/>
      <c r="D20" s="99"/>
      <c r="E20" s="52">
        <v>0</v>
      </c>
      <c r="F20" s="27" t="s">
        <v>3</v>
      </c>
      <c r="G20" s="1"/>
    </row>
    <row r="21" spans="1:7" x14ac:dyDescent="0.25">
      <c r="A21" s="1"/>
      <c r="B21" s="97" t="s">
        <v>34</v>
      </c>
      <c r="C21" s="98"/>
      <c r="D21" s="99"/>
      <c r="E21" s="52">
        <v>0</v>
      </c>
      <c r="F21" s="27" t="s">
        <v>3</v>
      </c>
      <c r="G21" s="1"/>
    </row>
    <row r="22" spans="1:7" x14ac:dyDescent="0.25">
      <c r="A22" s="1"/>
      <c r="B22" s="100" t="s">
        <v>37</v>
      </c>
      <c r="C22" s="101"/>
      <c r="D22" s="102"/>
      <c r="E22" s="9">
        <f>SUM(E20:E21)</f>
        <v>0</v>
      </c>
      <c r="F22" s="9" t="s">
        <v>3</v>
      </c>
      <c r="G22" s="1"/>
    </row>
    <row r="23" spans="1:7" ht="15.75" customHeight="1" x14ac:dyDescent="0.25">
      <c r="A23" s="1"/>
      <c r="B23" s="57" t="s">
        <v>62</v>
      </c>
      <c r="C23" s="57"/>
      <c r="D23" s="57"/>
      <c r="E23" s="57"/>
      <c r="F23" s="57"/>
      <c r="G23" s="1"/>
    </row>
    <row r="24" spans="1:7" x14ac:dyDescent="0.25">
      <c r="A24" s="1"/>
      <c r="B24" s="67" t="s">
        <v>27</v>
      </c>
      <c r="C24" s="28"/>
      <c r="D24" s="28"/>
      <c r="E24" s="9">
        <v>3806.5335755559208</v>
      </c>
      <c r="F24" s="58" t="s">
        <v>3</v>
      </c>
      <c r="G24" s="1"/>
    </row>
    <row r="25" spans="1:7" x14ac:dyDescent="0.25">
      <c r="A25" s="1"/>
      <c r="B25" s="67" t="s">
        <v>63</v>
      </c>
      <c r="C25" s="28"/>
      <c r="D25" s="28"/>
      <c r="E25" s="9">
        <v>0</v>
      </c>
      <c r="F25" s="58" t="s">
        <v>3</v>
      </c>
      <c r="G25" s="1"/>
    </row>
    <row r="26" spans="1:7" x14ac:dyDescent="0.25">
      <c r="A26" s="1"/>
      <c r="B26" s="57" t="s">
        <v>75</v>
      </c>
      <c r="C26" s="57"/>
      <c r="D26" s="57"/>
      <c r="E26" s="57"/>
      <c r="F26" s="57"/>
      <c r="G26" s="1"/>
    </row>
    <row r="27" spans="1:7" x14ac:dyDescent="0.25">
      <c r="A27" s="1"/>
      <c r="B27" s="103" t="s">
        <v>76</v>
      </c>
      <c r="C27" s="104"/>
      <c r="D27" s="105"/>
      <c r="E27" s="9">
        <f>'Fane 6. Skattesagen'!G11</f>
        <v>0</v>
      </c>
      <c r="F27" s="58" t="s">
        <v>3</v>
      </c>
      <c r="G27" s="1"/>
    </row>
    <row r="28" spans="1:7" ht="15" customHeight="1" x14ac:dyDescent="0.25">
      <c r="A28" s="1"/>
      <c r="B28" s="35" t="s">
        <v>148</v>
      </c>
      <c r="C28" s="35"/>
      <c r="D28" s="35"/>
      <c r="E28" s="36">
        <f>E16+E18+E22+E24+E25+E27</f>
        <v>5531911.589875075</v>
      </c>
      <c r="F28" s="37" t="s">
        <v>3</v>
      </c>
      <c r="G28" s="1"/>
    </row>
    <row r="29" spans="1:7" ht="27" customHeight="1" x14ac:dyDescent="0.25">
      <c r="A29" s="1"/>
      <c r="B29" s="92" t="s">
        <v>90</v>
      </c>
      <c r="C29" s="92"/>
      <c r="D29" s="92"/>
      <c r="E29" s="92"/>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ictngUMI9vvBcZ+1DUY+SdZy4LKnCbU0fTL32o7FyZh7q7ZFgNkXd+LO4uAQlqauM3JkTC30jkW7ZCh14r1ofQ==" saltValue="nboxpWHrS1mvm871LWDoG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8" t="s">
        <v>109</v>
      </c>
      <c r="D9" s="58"/>
      <c r="E9" s="1"/>
      <c r="F9" s="1"/>
    </row>
    <row r="10" spans="1:6" x14ac:dyDescent="0.25">
      <c r="A10" s="1"/>
      <c r="B10" s="23" t="s">
        <v>127</v>
      </c>
      <c r="C10" s="8">
        <v>1460262</v>
      </c>
      <c r="D10" s="12" t="s">
        <v>3</v>
      </c>
      <c r="E10" s="1"/>
      <c r="F10" s="1"/>
    </row>
    <row r="11" spans="1:6" x14ac:dyDescent="0.25">
      <c r="A11" s="1"/>
      <c r="B11" s="23" t="s">
        <v>128</v>
      </c>
      <c r="C11" s="8">
        <v>6565</v>
      </c>
      <c r="D11" s="12" t="s">
        <v>3</v>
      </c>
      <c r="E11" s="1"/>
      <c r="F11" s="1"/>
    </row>
    <row r="12" spans="1:6" x14ac:dyDescent="0.25">
      <c r="A12" s="1"/>
      <c r="B12" s="73" t="s">
        <v>92</v>
      </c>
      <c r="C12" s="10">
        <f>SUM(C10:C11)</f>
        <v>1466827</v>
      </c>
      <c r="D12" s="11" t="s">
        <v>3</v>
      </c>
      <c r="E12" s="1"/>
      <c r="F12" s="1"/>
    </row>
    <row r="13" spans="1:6" x14ac:dyDescent="0.25">
      <c r="A13" s="1"/>
      <c r="B13" s="73" t="s">
        <v>93</v>
      </c>
      <c r="C13" s="10">
        <f>C12*(1+'Fane 11. Nøgletal'!C15)^2</f>
        <v>1573124.0802667201</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WOO3DKJG/XTf1CsqjzHwNmiC+Uc6B6hoFheOkNXr2SbyhqVWDJo1vzQy5BFfO6f+jvkrH6ob/Cw0/2gkR3kKyQ==" saltValue="IU6EyMn34EizezdIhwUzc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152</v>
      </c>
      <c r="C3" s="106"/>
      <c r="D3" s="106"/>
      <c r="E3" s="106"/>
      <c r="F3" s="106"/>
      <c r="G3" s="1"/>
    </row>
    <row r="4" spans="1:7" ht="15" customHeight="1" x14ac:dyDescent="0.25">
      <c r="A4" s="1"/>
      <c r="B4" s="106"/>
      <c r="C4" s="106"/>
      <c r="D4" s="106"/>
      <c r="E4" s="106"/>
      <c r="F4" s="106"/>
      <c r="G4" s="1"/>
    </row>
    <row r="5" spans="1:7" ht="15" customHeight="1" x14ac:dyDescent="0.25">
      <c r="A5" s="1"/>
      <c r="B5" s="53"/>
      <c r="C5" s="53"/>
      <c r="D5" s="53"/>
      <c r="E5" s="53"/>
      <c r="F5" s="53"/>
      <c r="G5" s="1"/>
    </row>
    <row r="6" spans="1:7" ht="15" customHeight="1" x14ac:dyDescent="0.25">
      <c r="A6" s="1"/>
      <c r="B6" s="53"/>
      <c r="C6" s="53"/>
      <c r="D6" s="53"/>
      <c r="E6" s="53"/>
      <c r="F6" s="53"/>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13547.382926017046</v>
      </c>
      <c r="F9" s="12" t="s">
        <v>3</v>
      </c>
      <c r="G9" s="1"/>
    </row>
    <row r="10" spans="1:7" x14ac:dyDescent="0.25">
      <c r="A10" s="1"/>
      <c r="B10" s="118" t="s">
        <v>129</v>
      </c>
      <c r="C10" s="119"/>
      <c r="D10" s="120"/>
      <c r="E10" s="8">
        <v>13547.382926017046</v>
      </c>
      <c r="F10" s="12" t="s">
        <v>3</v>
      </c>
      <c r="G10" s="1"/>
    </row>
    <row r="11" spans="1:7" x14ac:dyDescent="0.25">
      <c r="A11" s="1"/>
      <c r="B11" s="73"/>
      <c r="C11" s="22"/>
      <c r="D11" s="22"/>
      <c r="E11" s="22"/>
      <c r="F11" s="74"/>
      <c r="G11" s="1"/>
    </row>
    <row r="12" spans="1:7" ht="68.25" customHeight="1" x14ac:dyDescent="0.25">
      <c r="A12" s="1"/>
      <c r="B12" s="124" t="s">
        <v>149</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130</v>
      </c>
      <c r="C16" s="119"/>
      <c r="D16" s="120"/>
      <c r="E16" s="8">
        <v>0</v>
      </c>
      <c r="F16" s="12" t="s">
        <v>3</v>
      </c>
      <c r="G16" s="1"/>
    </row>
    <row r="17" spans="1:7" x14ac:dyDescent="0.25">
      <c r="A17" s="1"/>
      <c r="B17" s="73"/>
      <c r="C17" s="22"/>
      <c r="D17" s="22"/>
      <c r="E17" s="22"/>
      <c r="F17" s="74"/>
      <c r="G17" s="1"/>
    </row>
    <row r="18" spans="1:7" ht="31.5" customHeight="1" x14ac:dyDescent="0.25">
      <c r="A18" s="1"/>
      <c r="B18" s="124" t="s">
        <v>150</v>
      </c>
      <c r="C18" s="125"/>
      <c r="D18" s="125"/>
      <c r="E18" s="125"/>
      <c r="F18" s="126"/>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5514137.4947491651</v>
      </c>
      <c r="F21" s="12" t="s">
        <v>3</v>
      </c>
      <c r="G21" s="1"/>
    </row>
    <row r="22" spans="1:7" x14ac:dyDescent="0.25">
      <c r="A22" s="1"/>
      <c r="B22" s="68" t="s">
        <v>131</v>
      </c>
      <c r="C22" s="69"/>
      <c r="D22" s="70"/>
      <c r="E22" s="8">
        <v>5734280</v>
      </c>
      <c r="F22" s="12" t="s">
        <v>3</v>
      </c>
      <c r="G22" s="1"/>
    </row>
    <row r="23" spans="1:7" x14ac:dyDescent="0.25">
      <c r="A23" s="1"/>
      <c r="B23" s="68" t="s">
        <v>26</v>
      </c>
      <c r="C23" s="69"/>
      <c r="D23" s="70"/>
      <c r="E23" s="8">
        <v>0</v>
      </c>
      <c r="F23" s="12" t="s">
        <v>3</v>
      </c>
      <c r="G23" s="1"/>
    </row>
    <row r="24" spans="1:7" x14ac:dyDescent="0.25">
      <c r="A24" s="1"/>
      <c r="B24" s="59" t="s">
        <v>151</v>
      </c>
      <c r="C24" s="60"/>
      <c r="D24" s="61"/>
      <c r="E24" s="50">
        <f>E21-(E22-E23)</f>
        <v>-220142.50525083486</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1" t="s">
        <v>132</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-206595.12232481781</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-103297.56116240891</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V7NTpFo6XamM2SsDtBp9VH1nswo6rJNNdy0CWj6IfCCcT6WCQOF2Kx9GqqOUc04EGN/NCnrz1/J7cqCa9vOnmg==" saltValue="KsXGXEFWZ6uziGz26xZx8A=="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3" t="s">
        <v>124</v>
      </c>
      <c r="C9" s="104"/>
      <c r="D9" s="104"/>
      <c r="E9" s="104"/>
      <c r="F9" s="104"/>
      <c r="G9" s="104"/>
      <c r="H9" s="105"/>
      <c r="I9" s="1"/>
    </row>
    <row r="10" spans="1:9" x14ac:dyDescent="0.25">
      <c r="A10" s="1"/>
      <c r="B10" s="108" t="s">
        <v>136</v>
      </c>
      <c r="C10" s="109"/>
      <c r="D10" s="109"/>
      <c r="E10" s="109"/>
      <c r="F10" s="110"/>
      <c r="G10" s="51">
        <v>0</v>
      </c>
      <c r="H10" s="8" t="s">
        <v>3</v>
      </c>
      <c r="I10" s="1"/>
    </row>
    <row r="11" spans="1:9" x14ac:dyDescent="0.25">
      <c r="A11" s="1"/>
      <c r="B11" s="108" t="s">
        <v>137</v>
      </c>
      <c r="C11" s="109"/>
      <c r="D11" s="109"/>
      <c r="E11" s="109"/>
      <c r="F11" s="110"/>
      <c r="G11" s="51">
        <v>0</v>
      </c>
      <c r="H11" s="8" t="s">
        <v>3</v>
      </c>
      <c r="I11" s="1"/>
    </row>
    <row r="12" spans="1:9" x14ac:dyDescent="0.25">
      <c r="A12" s="1"/>
      <c r="B12" s="108" t="s">
        <v>138</v>
      </c>
      <c r="C12" s="109"/>
      <c r="D12" s="109"/>
      <c r="E12" s="109"/>
      <c r="F12" s="110"/>
      <c r="G12" s="8">
        <v>0</v>
      </c>
      <c r="H12" s="8" t="s">
        <v>3</v>
      </c>
      <c r="I12" s="1"/>
    </row>
    <row r="13" spans="1:9" x14ac:dyDescent="0.25">
      <c r="A13" s="1"/>
      <c r="B13" s="108" t="s">
        <v>139</v>
      </c>
      <c r="C13" s="109"/>
      <c r="D13" s="109"/>
      <c r="E13" s="109"/>
      <c r="F13" s="110"/>
      <c r="G13" s="8">
        <v>0</v>
      </c>
      <c r="H13" s="8" t="s">
        <v>3</v>
      </c>
      <c r="I13" s="1"/>
    </row>
    <row r="14" spans="1:9" x14ac:dyDescent="0.25">
      <c r="A14" s="1"/>
      <c r="B14" s="108" t="s">
        <v>140</v>
      </c>
      <c r="C14" s="109"/>
      <c r="D14" s="109"/>
      <c r="E14" s="109"/>
      <c r="F14" s="110"/>
      <c r="G14" s="8">
        <v>0</v>
      </c>
      <c r="H14" s="8" t="s">
        <v>3</v>
      </c>
      <c r="I14" s="1"/>
    </row>
    <row r="15" spans="1:9" x14ac:dyDescent="0.25">
      <c r="A15" s="1"/>
      <c r="B15" s="108" t="s">
        <v>141</v>
      </c>
      <c r="C15" s="109"/>
      <c r="D15" s="109"/>
      <c r="E15" s="109"/>
      <c r="F15" s="110"/>
      <c r="G15" s="8">
        <v>0</v>
      </c>
      <c r="H15" s="8" t="s">
        <v>3</v>
      </c>
      <c r="I15" s="1"/>
    </row>
    <row r="16" spans="1:9" x14ac:dyDescent="0.25">
      <c r="A16" s="1"/>
      <c r="B16" s="108" t="s">
        <v>142</v>
      </c>
      <c r="C16" s="109"/>
      <c r="D16" s="109"/>
      <c r="E16" s="109"/>
      <c r="F16" s="110"/>
      <c r="G16" s="8">
        <v>0</v>
      </c>
      <c r="H16" s="8" t="s">
        <v>3</v>
      </c>
      <c r="I16" s="1"/>
    </row>
    <row r="17" spans="1:9" x14ac:dyDescent="0.25">
      <c r="A17" s="1"/>
      <c r="B17" s="108" t="s">
        <v>143</v>
      </c>
      <c r="C17" s="109"/>
      <c r="D17" s="109"/>
      <c r="E17" s="109"/>
      <c r="F17" s="110"/>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4ipLg39eu+utqZzdbyTRcXo8WncAUPwn6TsZkb0R9Xi3MAQnu5lNgIOr5hvhtoSQuWN43jX03YWgZ6jF8Gz0Pw==" saltValue="2czz0JPATwCqjIUJrfqz9A=="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2022-08-25T06:23:52Z</dcterms:modified>
</cp:coreProperties>
</file>