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VERDO VAND AS (V206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G10" i="36" l="1"/>
  <c r="G10" i="30" l="1"/>
  <c r="G13" i="30" s="1"/>
  <c r="E35" i="32" l="1"/>
  <c r="E30" i="32"/>
  <c r="E26" i="32" l="1"/>
  <c r="E37" i="32" s="1"/>
  <c r="C23" i="23" l="1"/>
  <c r="C23" i="22"/>
  <c r="C24" i="15"/>
  <c r="C30" i="2"/>
  <c r="C14" i="19"/>
  <c r="C11" i="29" l="1"/>
  <c r="C12" i="29" s="1"/>
  <c r="G31" i="30"/>
  <c r="C11" i="2" l="1"/>
  <c r="G37" i="36" s="1"/>
  <c r="C10" i="2"/>
  <c r="G37" i="30" s="1"/>
  <c r="E10" i="11" l="1"/>
  <c r="G6" i="30" l="1"/>
  <c r="E32" i="21" l="1"/>
  <c r="E33" i="21" s="1"/>
  <c r="G56" i="36" s="1"/>
  <c r="C32" i="21"/>
  <c r="C33" i="21" s="1"/>
  <c r="G56" i="30" s="1"/>
  <c r="E25" i="21"/>
  <c r="E26" i="21" s="1"/>
  <c r="G50" i="36" s="1"/>
  <c r="C25" i="21"/>
  <c r="C26" i="21" s="1"/>
  <c r="G50" i="30" s="1"/>
  <c r="E18" i="21"/>
  <c r="E19" i="21" s="1"/>
  <c r="G44" i="36" s="1"/>
  <c r="C18" i="21"/>
  <c r="C19" i="21" s="1"/>
  <c r="G44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1" i="15" s="1"/>
  <c r="C19" i="23"/>
  <c r="C19" i="22"/>
  <c r="C20" i="15"/>
  <c r="C26" i="2"/>
  <c r="C21" i="22" l="1"/>
  <c r="C21" i="23"/>
  <c r="C22" i="15"/>
  <c r="C28" i="2"/>
  <c r="G6" i="36" l="1"/>
  <c r="G13" i="36" l="1"/>
  <c r="G17" i="36" s="1"/>
  <c r="G20" i="36" s="1"/>
  <c r="G17" i="30"/>
  <c r="G20" i="30" s="1"/>
  <c r="G24" i="36" l="1"/>
  <c r="G26" i="36" s="1"/>
  <c r="G24" i="30"/>
  <c r="G26" i="30" s="1"/>
  <c r="G30" i="30" l="1"/>
  <c r="G30" i="36"/>
  <c r="G32" i="30" l="1"/>
  <c r="G36" i="30" s="1"/>
  <c r="G32" i="36"/>
  <c r="G36" i="36" s="1"/>
  <c r="F11" i="11"/>
  <c r="G11" i="11"/>
  <c r="C10" i="37" l="1"/>
  <c r="C12" i="37" s="1"/>
  <c r="C13" i="37" s="1"/>
  <c r="C12" i="2" s="1"/>
  <c r="E11" i="21"/>
  <c r="E12" i="21" s="1"/>
  <c r="C11" i="21"/>
  <c r="C12" i="21" s="1"/>
  <c r="E11" i="29"/>
  <c r="E12" i="29" s="1"/>
  <c r="C15" i="19" l="1"/>
  <c r="C16" i="2"/>
  <c r="C17" i="2"/>
  <c r="C15" i="2"/>
  <c r="C14" i="2"/>
  <c r="C24" i="2" l="1"/>
  <c r="C17" i="22"/>
  <c r="C17" i="23"/>
  <c r="C18" i="15"/>
  <c r="G38" i="30"/>
  <c r="G39" i="30" s="1"/>
  <c r="E11" i="11"/>
  <c r="E10" i="37" l="1"/>
  <c r="E12" i="37" s="1"/>
  <c r="E13" i="37" s="1"/>
  <c r="C13" i="2" s="1"/>
  <c r="G38" i="36" s="1"/>
  <c r="G39" i="36" l="1"/>
  <c r="G43" i="36" s="1"/>
  <c r="G45" i="36" s="1"/>
  <c r="C20" i="2"/>
  <c r="G43" i="30" l="1"/>
  <c r="G45" i="30" s="1"/>
  <c r="C14" i="15" s="1"/>
  <c r="E20" i="27"/>
  <c r="E31" i="27" s="1"/>
  <c r="C9" i="2" l="1"/>
  <c r="C18" i="2" s="1"/>
  <c r="C19" i="2" s="1"/>
  <c r="G49" i="30"/>
  <c r="G51" i="30" s="1"/>
  <c r="C21" i="2"/>
  <c r="C15" i="15"/>
  <c r="C22" i="2" l="1"/>
  <c r="G55" i="30"/>
  <c r="G57" i="30" s="1"/>
  <c r="C13" i="23" s="1"/>
  <c r="C13" i="22"/>
  <c r="G49" i="36"/>
  <c r="G51" i="36" s="1"/>
  <c r="C14" i="22" s="1"/>
  <c r="G55" i="36" l="1"/>
  <c r="G57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<sst xmlns="http://schemas.openxmlformats.org/spreadsheetml/2006/main" count="624" uniqueCount="256">
  <si>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</si>
  <si>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</si>
  <si>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</si>
  <si>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</si>
  <si>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</si>
  <si>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</si>
  <si>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</si>
  <si>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</si>
  <si>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</si>
  <si>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</si>
  <si>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</si>
  <si>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</si>
  <si>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</si>
  <si>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</si>
  <si>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</si>
  <si>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</si>
  <si>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</si>
  <si>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</si>
  <si>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</si>
  <si>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</si>
  <si>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</si>
  <si>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</si>
  <si>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</si>
  <si>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</si>
  <si>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</si>
  <si>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</si>
  <si>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</si>
  <si>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</si>
  <si>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</si>
  <si>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</si>
  <si>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</si>
  <si>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</si>
  <si>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</si>
  <si>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</si>
  <si>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</si>
  <si>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</si>
  <si>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</si>
  <si>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</si>
  <si>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</si>
  <si>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</si>
  <si>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</si>
  <si>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</si>
  <si>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</si>
  <si>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</si>
  <si>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</si>
  <si>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</si>
  <si>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</si>
  <si>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</si>
  <si>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</si>
  <si>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</si>
  <si>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</si>
  <si>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</si>
  <si>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</si>
  <si>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</si>
  <si>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</si>
  <si>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</si>
  <si>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</si>
  <si>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</si>
  <si>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</si>
  <si>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</si>
  <si>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</si>
  <si>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</si>
  <si>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</si>
  <si>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</si>
  <si>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</si>
  <si>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</si>
  <si>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</si>
  <si>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</si>
  <si>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</si>
  <si>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</si>
  <si>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</si>
  <si>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</si>
  <si>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</si>
  <si>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</si>
  <si>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</si>
  <si>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</si>
  <si>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</si>
  <si>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</si>
  <si>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</si>
  <si>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</si>
  <si>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</si>
  <si>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</si>
  <si>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</si>
  <si>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</si>
  <si>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</si>
  <si>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</si>
  <si>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</si>
  <si>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</si>
  <si>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</si>
  <si>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</si>
  <si>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</si>
  <si>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</si>
  <si>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</si>
  <si>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</si>
  <si>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</si>
  <si>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</si>
  <si>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</si>
  <si>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</si>
  <si>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</si>
  <si>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</si>
  <si>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</si>
  <si>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</si>
  <si>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</si>
  <si>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</si>
  <si>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</si>
  <si>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</si>
  <si>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</si>
  <si>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</si>
  <si>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</si>
  <si>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</si>
  <si>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</si>
  <si>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</si>
  <si>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</si>
  <si>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</si>
  <si>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</si>
  <si>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</si>
  <si>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</si>
  <si>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</si>
  <si>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</si>
  <si>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</si>
  <si>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</si>
  <si>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</si>
  <si>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</si>
  <si>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</si>
  <si>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</si>
  <si>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</si>
  <si>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</si>
  <si>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</si>
  <si>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</si>
  <si>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</si>
  <si>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</si>
  <si>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</si>
  <si>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</si>
  <si>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</si>
  <si>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</si>
  <si>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</si>
  <si>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</si>
  <si>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</si>
  <si>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</si>
  <si>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</si>
  <si>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</si>
  <si>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</si>
  <si>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</si>
  <si>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</si>
  <si>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</si>
  <si>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</si>
  <si>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</si>
  <si>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</si>
  <si>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</si>
  <si>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</si>
  <si>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</si>
  <si>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</si>
  <si>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</si>
  <si>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</si>
  <si>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</si>
  <si>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</si>
  <si>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</si>
  <si>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</si>
  <si>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</si>
  <si>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</si>
  <si>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</si>
  <si>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</si>
  <si>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</si>
  <si>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</si>
  <si>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</si>
  <si>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</si>
  <si>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</si>
  <si>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</si>
  <si>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</si>
  <si>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</si>
  <si>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</si>
  <si>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</si>
  <si>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</si>
  <si>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</si>
  <si>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</si>
  <si>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</si>
  <si>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</si>
  <si>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</si>
  <si>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</si>
  <si>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</si>
  <si>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</si>
  <si>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</si>
  <si>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</si>
  <si>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</si>
  <si>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</si>
  <si>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</si>
  <si>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</si>
  <si>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</si>
  <si>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</si>
  <si>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</si>
  <si>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</si>
  <si>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</si>
  <si>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</si>
  <si>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</si>
  <si>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</si>
  <si>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</si>
  <si>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</si>
  <si>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</si>
  <si>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</si>
  <si>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</si>
  <si>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</si>
  <si>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</si>
  <si>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</si>
  <si>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</si>
  <si>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</si>
  <si>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</si>
  <si>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</si>
  <si>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</si>
  <si>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</si>
  <si>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</si>
  <si>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</si>
  <si>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</si>
  <si>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</si>
  <si>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</si>
  <si>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</si>
  <si>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</si>
  <si>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</si>
  <si>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</si>
  <si>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</si>
  <si>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</si>
  <si>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</si>
  <si>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</si>
  <si>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</si>
  <si>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</si>
  <si>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</si>
  <si>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</si>
  <si>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</si>
  <si>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Byggemodninger</t>
  </si>
  <si>
    <t>Ingen tilknyttet virksomhed</t>
  </si>
  <si>
    <t>Afgift for ledningsført vand</t>
  </si>
  <si>
    <t>Afgift til Forsyningssekretariatet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</si>
  <si>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</si>
  <si>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</si>
  <si>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</si>
  <si>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</si>
  <si>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</si>
  <si>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</si>
  <si>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</si>
  <si>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</si>
  <si>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</si>
  <si>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</si>
  <si>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</si>
  <si>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</si>
  <si>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</si>
  <si>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</si>
  <si>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</si>
  <si>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</si>
  <si>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</si>
  <si>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</si>
  <si>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</si>
  <si>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- heraf driftsomkostninger for Fyrrebakkens Vandværk for 2017</t>
  </si>
  <si>
    <t>- heraf anlægsomkostninger for Fyrrebakkens Vandværk for 2017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</si>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</sst>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3">
          <cell r="A3" t="str">
            <v>S016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5" t="s">
        <v>4</v>
      </c>
      <c r="E6" s="75"/>
      <c r="F6" s="75"/>
      <c r="G6" s="75"/>
      <c r="H6" s="3"/>
      <c r="I6" s="1"/>
    </row>
    <row r="7" spans="1:9" ht="15" customHeight="1" x14ac:dyDescent="0.25">
      <c r="A7" s="1"/>
      <c r="B7" s="1"/>
      <c r="C7" s="3"/>
      <c r="D7" s="75"/>
      <c r="E7" s="75"/>
      <c r="F7" s="75"/>
      <c r="G7" s="75"/>
      <c r="H7" s="3"/>
      <c r="I7" s="1"/>
    </row>
    <row r="8" spans="1:9" ht="15.75" x14ac:dyDescent="0.25">
      <c r="A8" s="1"/>
      <c r="B8" s="1"/>
      <c r="C8" s="4"/>
      <c r="D8" s="80" t="s">
        <v>180</v>
      </c>
      <c r="E8" s="80"/>
      <c r="F8" s="80"/>
      <c r="G8" s="80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2" t="s">
        <v>163</v>
      </c>
      <c r="E13" s="73"/>
      <c r="F13" s="73"/>
      <c r="G13" s="74"/>
      <c r="H13" s="1"/>
      <c r="I13" s="1"/>
    </row>
    <row r="14" spans="1:9" x14ac:dyDescent="0.25">
      <c r="A14" s="1"/>
      <c r="B14" s="1"/>
      <c r="C14" s="6" t="s">
        <v>15</v>
      </c>
      <c r="D14" s="72" t="s">
        <v>83</v>
      </c>
      <c r="E14" s="73"/>
      <c r="F14" s="73"/>
      <c r="G14" s="74"/>
      <c r="H14" s="1"/>
      <c r="I14" s="1"/>
    </row>
    <row r="15" spans="1:9" x14ac:dyDescent="0.25">
      <c r="A15" s="1"/>
      <c r="B15" s="1"/>
      <c r="C15" s="6" t="s">
        <v>35</v>
      </c>
      <c r="D15" s="72" t="s">
        <v>128</v>
      </c>
      <c r="E15" s="73"/>
      <c r="F15" s="73"/>
      <c r="G15" s="74"/>
      <c r="H15" s="1"/>
      <c r="I15" s="1"/>
    </row>
    <row r="16" spans="1:9" x14ac:dyDescent="0.25">
      <c r="A16" s="1"/>
      <c r="B16" s="1"/>
      <c r="C16" s="6" t="s">
        <v>36</v>
      </c>
      <c r="D16" s="72" t="s">
        <v>181</v>
      </c>
      <c r="E16" s="73"/>
      <c r="F16" s="73"/>
      <c r="G16" s="74"/>
      <c r="H16" s="1"/>
      <c r="I16" s="1"/>
    </row>
    <row r="17" spans="1:9" x14ac:dyDescent="0.25">
      <c r="A17" s="1"/>
      <c r="B17" s="1"/>
      <c r="C17" s="6" t="s">
        <v>127</v>
      </c>
      <c r="D17" s="72" t="s">
        <v>182</v>
      </c>
      <c r="E17" s="73"/>
      <c r="F17" s="73"/>
      <c r="G17" s="74"/>
      <c r="H17" s="1"/>
      <c r="I17" s="1"/>
    </row>
    <row r="18" spans="1:9" x14ac:dyDescent="0.25">
      <c r="A18" s="1"/>
      <c r="B18" s="1"/>
      <c r="C18" s="32" t="s">
        <v>111</v>
      </c>
      <c r="D18" s="81" t="s">
        <v>100</v>
      </c>
      <c r="E18" s="82"/>
      <c r="F18" s="82"/>
      <c r="G18" s="83"/>
      <c r="H18" s="1"/>
      <c r="I18" s="1"/>
    </row>
    <row r="19" spans="1:9" x14ac:dyDescent="0.25">
      <c r="A19" s="1"/>
      <c r="B19" s="1"/>
      <c r="C19" s="32" t="s">
        <v>112</v>
      </c>
      <c r="D19" s="81" t="s">
        <v>101</v>
      </c>
      <c r="E19" s="82"/>
      <c r="F19" s="82"/>
      <c r="G19" s="83"/>
      <c r="H19" s="1"/>
      <c r="I19" s="1"/>
    </row>
    <row r="20" spans="1:9" x14ac:dyDescent="0.25">
      <c r="A20" s="1"/>
      <c r="B20" s="1"/>
      <c r="C20" s="32" t="s">
        <v>7</v>
      </c>
      <c r="D20" s="81" t="s">
        <v>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113</v>
      </c>
      <c r="D21" s="87" t="s">
        <v>12</v>
      </c>
      <c r="E21" s="88"/>
      <c r="F21" s="88"/>
      <c r="G21" s="89"/>
      <c r="H21" s="1"/>
      <c r="I21" s="1"/>
    </row>
    <row r="22" spans="1:9" x14ac:dyDescent="0.25">
      <c r="A22" s="1"/>
      <c r="B22" s="1"/>
      <c r="C22" s="6" t="s">
        <v>87</v>
      </c>
      <c r="D22" s="76" t="s">
        <v>183</v>
      </c>
      <c r="E22" s="77"/>
      <c r="F22" s="77"/>
      <c r="G22" s="78"/>
      <c r="H22" s="1"/>
      <c r="I22" s="1"/>
    </row>
    <row r="23" spans="1:9" x14ac:dyDescent="0.25">
      <c r="A23" s="1"/>
      <c r="B23" s="1"/>
      <c r="C23" s="6" t="s">
        <v>8</v>
      </c>
      <c r="D23" s="76" t="s">
        <v>37</v>
      </c>
      <c r="E23" s="77"/>
      <c r="F23" s="77"/>
      <c r="G23" s="78"/>
      <c r="H23" s="1"/>
      <c r="I23" s="1"/>
    </row>
    <row r="24" spans="1:9" x14ac:dyDescent="0.25">
      <c r="A24" s="1"/>
      <c r="B24" s="1"/>
      <c r="C24" s="6" t="s">
        <v>170</v>
      </c>
      <c r="D24" s="76" t="s">
        <v>88</v>
      </c>
      <c r="E24" s="77"/>
      <c r="F24" s="77"/>
      <c r="G24" s="78"/>
      <c r="H24" s="1"/>
      <c r="I24" s="1"/>
    </row>
    <row r="25" spans="1:9" x14ac:dyDescent="0.25">
      <c r="A25" s="1"/>
      <c r="B25" s="1"/>
      <c r="C25" s="6" t="s">
        <v>171</v>
      </c>
      <c r="D25" s="76" t="s">
        <v>89</v>
      </c>
      <c r="E25" s="77"/>
      <c r="F25" s="77"/>
      <c r="G25" s="78"/>
      <c r="H25" s="1"/>
      <c r="I25" s="1"/>
    </row>
    <row r="26" spans="1:9" x14ac:dyDescent="0.25">
      <c r="A26" s="1"/>
      <c r="B26" s="1"/>
      <c r="C26" s="6" t="s">
        <v>172</v>
      </c>
      <c r="D26" s="76" t="s">
        <v>129</v>
      </c>
      <c r="E26" s="77"/>
      <c r="F26" s="77"/>
      <c r="G26" s="78"/>
      <c r="H26" s="1"/>
      <c r="I26" s="1"/>
    </row>
    <row r="27" spans="1:9" x14ac:dyDescent="0.25">
      <c r="A27" s="1"/>
      <c r="B27" s="1"/>
      <c r="C27" s="6" t="s">
        <v>114</v>
      </c>
      <c r="D27" s="76" t="s">
        <v>38</v>
      </c>
      <c r="E27" s="77"/>
      <c r="F27" s="77"/>
      <c r="G27" s="78"/>
      <c r="H27" s="1"/>
      <c r="I27" s="1"/>
    </row>
    <row r="28" spans="1:9" x14ac:dyDescent="0.25">
      <c r="A28" s="1"/>
      <c r="B28" s="1"/>
      <c r="C28" s="6" t="s">
        <v>108</v>
      </c>
      <c r="D28" s="84" t="s">
        <v>109</v>
      </c>
      <c r="E28" s="85"/>
      <c r="F28" s="85"/>
      <c r="G28" s="86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kcVjqPO4LEf4ynEUQWBlWqa5nDlko0G71kcVj+PLcSfIN78JmMXMylyZ6uWWveQjYFfHGwLlVDKu44mpBdZLw==" saltValue="WXVE2y71/vmhIkZ0V4WckQ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90" t="s">
        <v>117</v>
      </c>
      <c r="C3" s="90"/>
      <c r="D3" s="90"/>
      <c r="E3" s="1"/>
      <c r="F3" s="1"/>
    </row>
    <row r="4" spans="1:6" ht="15" customHeight="1" x14ac:dyDescent="0.25">
      <c r="A4" s="1"/>
      <c r="B4" s="90"/>
      <c r="C4" s="90"/>
      <c r="D4" s="90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6" t="s">
        <v>203</v>
      </c>
      <c r="C8" s="117"/>
      <c r="D8" s="118"/>
      <c r="E8" s="1"/>
      <c r="F8" s="1"/>
    </row>
    <row r="9" spans="1:6" ht="15" customHeight="1" x14ac:dyDescent="0.25">
      <c r="A9" s="1"/>
      <c r="B9" s="51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6" t="s">
        <v>229</v>
      </c>
      <c r="C10" s="9">
        <v>14828100</v>
      </c>
      <c r="D10" s="14" t="s">
        <v>3</v>
      </c>
      <c r="E10" s="1"/>
      <c r="F10" s="1"/>
    </row>
    <row r="11" spans="1:6" x14ac:dyDescent="0.25">
      <c r="A11" s="1"/>
      <c r="B11" s="66" t="s">
        <v>230</v>
      </c>
      <c r="C11" s="9">
        <v>86898</v>
      </c>
      <c r="D11" s="14" t="s">
        <v>3</v>
      </c>
      <c r="E11" s="1"/>
      <c r="F11" s="1"/>
    </row>
    <row r="12" spans="1:6" x14ac:dyDescent="0.25">
      <c r="A12" s="1"/>
      <c r="B12" s="66" t="s">
        <v>231</v>
      </c>
      <c r="C12" s="9">
        <v>193394</v>
      </c>
      <c r="D12" s="14" t="s">
        <v>3</v>
      </c>
      <c r="E12" s="1"/>
      <c r="F12" s="1"/>
    </row>
    <row r="13" spans="1:6" x14ac:dyDescent="0.25">
      <c r="A13" s="1"/>
      <c r="B13" s="66" t="s">
        <v>232</v>
      </c>
      <c r="C13" s="9">
        <v>355841</v>
      </c>
      <c r="D13" s="14" t="s">
        <v>3</v>
      </c>
      <c r="E13" s="1"/>
      <c r="F13" s="1"/>
    </row>
    <row r="14" spans="1:6" x14ac:dyDescent="0.25">
      <c r="A14" s="1"/>
      <c r="B14" s="54" t="s">
        <v>205</v>
      </c>
      <c r="C14" s="12">
        <f>SUM(C10:C13)</f>
        <v>15464233</v>
      </c>
      <c r="D14" s="13" t="s">
        <v>3</v>
      </c>
      <c r="E14" s="1"/>
      <c r="F14" s="1"/>
    </row>
    <row r="15" spans="1:6" x14ac:dyDescent="0.25">
      <c r="A15" s="1"/>
      <c r="B15" s="54" t="s">
        <v>206</v>
      </c>
      <c r="C15" s="12">
        <f>C14*(1+'Fane 12. Nøgletal'!C14)^2</f>
        <v>15566465.343297372</v>
      </c>
      <c r="D15" s="13" t="s">
        <v>3</v>
      </c>
      <c r="E15" s="1"/>
      <c r="F15" s="1"/>
    </row>
    <row r="16" spans="1:6" x14ac:dyDescent="0.25">
      <c r="A16" s="1"/>
      <c r="B16" s="16"/>
      <c r="C16" s="15"/>
      <c r="D16" s="15"/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</sheetData>
  <sheetProtection algorithmName="SHA-512" hashValue="4GqFMZau55D6D0NwdxPf0Eu3KfQLlEhIUwNR0DTnNhUKSHRXHsOpS/vcxGgv+f/4hMfy6IANgAw8fvzPp9lKEA==" saltValue="py+Ohy9JTYYDltJpCLJwJg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9" t="s">
        <v>221</v>
      </c>
      <c r="C3" s="109"/>
      <c r="D3" s="109"/>
      <c r="E3" s="109"/>
      <c r="F3" s="109"/>
      <c r="G3" s="1"/>
    </row>
    <row r="4" spans="1:7" ht="15" customHeight="1" x14ac:dyDescent="0.25">
      <c r="A4" s="1"/>
      <c r="B4" s="109"/>
      <c r="C4" s="109"/>
      <c r="D4" s="109"/>
      <c r="E4" s="109"/>
      <c r="F4" s="109"/>
      <c r="G4" s="1"/>
    </row>
    <row r="5" spans="1:7" ht="15" customHeight="1" x14ac:dyDescent="0.25">
      <c r="A5" s="1"/>
      <c r="B5" s="58"/>
      <c r="C5" s="58"/>
      <c r="D5" s="58"/>
      <c r="E5" s="58"/>
      <c r="F5" s="58"/>
      <c r="G5" s="1"/>
    </row>
    <row r="6" spans="1:7" ht="15" customHeight="1" x14ac:dyDescent="0.25">
      <c r="A6" s="1"/>
      <c r="B6" s="58"/>
      <c r="C6" s="58"/>
      <c r="D6" s="58"/>
      <c r="E6" s="58"/>
      <c r="F6" s="58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235</v>
      </c>
      <c r="C8" s="117"/>
      <c r="D8" s="117"/>
      <c r="E8" s="117"/>
      <c r="F8" s="118"/>
      <c r="G8" s="1"/>
    </row>
    <row r="9" spans="1:7" x14ac:dyDescent="0.25">
      <c r="A9" s="1"/>
      <c r="B9" s="113" t="s">
        <v>236</v>
      </c>
      <c r="C9" s="114"/>
      <c r="D9" s="115"/>
      <c r="E9" s="9">
        <v>4097788.4162666649</v>
      </c>
      <c r="F9" s="14" t="s">
        <v>3</v>
      </c>
      <c r="G9" s="1"/>
    </row>
    <row r="10" spans="1:7" x14ac:dyDescent="0.25">
      <c r="A10" s="1"/>
      <c r="B10" s="113" t="s">
        <v>237</v>
      </c>
      <c r="C10" s="114"/>
      <c r="D10" s="115"/>
      <c r="E10" s="9">
        <v>11826.859473690391</v>
      </c>
      <c r="F10" s="14" t="s">
        <v>3</v>
      </c>
      <c r="G10" s="1"/>
    </row>
    <row r="11" spans="1:7" x14ac:dyDescent="0.25">
      <c r="A11" s="1"/>
      <c r="B11" s="113" t="s">
        <v>238</v>
      </c>
      <c r="C11" s="114"/>
      <c r="D11" s="115"/>
      <c r="E11" s="9">
        <v>910201.54254859686</v>
      </c>
      <c r="F11" s="14" t="s">
        <v>3</v>
      </c>
      <c r="G11" s="1"/>
    </row>
    <row r="12" spans="1:7" x14ac:dyDescent="0.25">
      <c r="A12" s="1"/>
      <c r="B12" s="113" t="s">
        <v>239</v>
      </c>
      <c r="C12" s="114"/>
      <c r="D12" s="115"/>
      <c r="E12" s="9">
        <f>IF(OR(AND(E10&gt;0,E11&lt;0),AND(E11&lt;0,E34&gt;0)),E17+E18,E11)</f>
        <v>910201.54254859686</v>
      </c>
      <c r="F12" s="14" t="s">
        <v>3</v>
      </c>
      <c r="G12" s="1"/>
    </row>
    <row r="13" spans="1:7" x14ac:dyDescent="0.25">
      <c r="A13" s="1"/>
      <c r="B13" s="54"/>
      <c r="C13" s="55"/>
      <c r="D13" s="55"/>
      <c r="E13" s="55"/>
      <c r="F13" s="20"/>
      <c r="G13" s="1"/>
    </row>
    <row r="14" spans="1:7" ht="54.75" customHeight="1" x14ac:dyDescent="0.25">
      <c r="A14" s="1"/>
      <c r="B14" s="92" t="s">
        <v>240</v>
      </c>
      <c r="C14" s="93"/>
      <c r="D14" s="93"/>
      <c r="E14" s="93"/>
      <c r="F14" s="94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241</v>
      </c>
      <c r="C16" s="117"/>
      <c r="D16" s="117"/>
      <c r="E16" s="117"/>
      <c r="F16" s="118"/>
      <c r="G16" s="1"/>
    </row>
    <row r="17" spans="1:7" x14ac:dyDescent="0.25">
      <c r="A17" s="1"/>
      <c r="B17" s="113" t="s">
        <v>242</v>
      </c>
      <c r="C17" s="114"/>
      <c r="D17" s="115"/>
      <c r="E17" s="9">
        <v>0</v>
      </c>
      <c r="F17" s="14" t="s">
        <v>3</v>
      </c>
      <c r="G17" s="1"/>
    </row>
    <row r="18" spans="1:7" x14ac:dyDescent="0.25">
      <c r="A18" s="1"/>
      <c r="B18" s="113" t="s">
        <v>243</v>
      </c>
      <c r="C18" s="114"/>
      <c r="D18" s="115"/>
      <c r="E18" s="9">
        <v>0</v>
      </c>
      <c r="F18" s="14" t="s">
        <v>3</v>
      </c>
      <c r="G18" s="1"/>
    </row>
    <row r="19" spans="1:7" x14ac:dyDescent="0.25">
      <c r="A19" s="1"/>
      <c r="B19" s="54"/>
      <c r="C19" s="55"/>
      <c r="D19" s="55"/>
      <c r="E19" s="55"/>
      <c r="F19" s="20"/>
      <c r="G19" s="1"/>
    </row>
    <row r="20" spans="1:7" ht="30" customHeight="1" x14ac:dyDescent="0.25">
      <c r="A20" s="1"/>
      <c r="B20" s="92" t="s">
        <v>244</v>
      </c>
      <c r="C20" s="93"/>
      <c r="D20" s="93"/>
      <c r="E20" s="93"/>
      <c r="F20" s="94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63" t="s">
        <v>207</v>
      </c>
      <c r="C22" s="64"/>
      <c r="D22" s="64"/>
      <c r="E22" s="64"/>
      <c r="F22" s="65"/>
      <c r="G22" s="1"/>
    </row>
    <row r="23" spans="1:7" x14ac:dyDescent="0.25">
      <c r="A23" s="1"/>
      <c r="B23" s="60" t="s">
        <v>208</v>
      </c>
      <c r="C23" s="61"/>
      <c r="D23" s="62"/>
      <c r="E23" s="9">
        <v>36992569.278415456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34855008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7" t="s">
        <v>253</v>
      </c>
      <c r="C26" s="68"/>
      <c r="D26" s="69"/>
      <c r="E26" s="45">
        <f>E23-(E24-E25)</f>
        <v>2137561.2784154564</v>
      </c>
      <c r="F26" s="17" t="s">
        <v>3</v>
      </c>
      <c r="G26" s="1"/>
    </row>
    <row r="27" spans="1:7" x14ac:dyDescent="0.25">
      <c r="A27" s="1"/>
      <c r="B27" s="54"/>
      <c r="C27" s="55"/>
      <c r="D27" s="55"/>
      <c r="E27" s="55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245</v>
      </c>
      <c r="C29" s="117"/>
      <c r="D29" s="117"/>
      <c r="E29" s="117"/>
      <c r="F29" s="118"/>
      <c r="G29" s="1"/>
    </row>
    <row r="30" spans="1:7" x14ac:dyDescent="0.25">
      <c r="A30" s="1"/>
      <c r="B30" s="134" t="s">
        <v>246</v>
      </c>
      <c r="C30" s="135"/>
      <c r="D30" s="136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25">
      <c r="A31" s="1"/>
      <c r="B31" s="116"/>
      <c r="C31" s="117"/>
      <c r="D31" s="117"/>
      <c r="E31" s="117"/>
      <c r="F31" s="118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6" t="s">
        <v>247</v>
      </c>
      <c r="C33" s="117"/>
      <c r="D33" s="117"/>
      <c r="E33" s="117"/>
      <c r="F33" s="118"/>
      <c r="G33" s="1"/>
    </row>
    <row r="34" spans="1:7" x14ac:dyDescent="0.25">
      <c r="A34" s="1"/>
      <c r="B34" s="138" t="s">
        <v>254</v>
      </c>
      <c r="C34" s="139"/>
      <c r="D34" s="140"/>
      <c r="E34" s="9">
        <v>3</v>
      </c>
      <c r="F34" s="14"/>
      <c r="G34" s="1"/>
    </row>
    <row r="35" spans="1:7" x14ac:dyDescent="0.25">
      <c r="A35" s="1"/>
      <c r="B35" s="138" t="s">
        <v>161</v>
      </c>
      <c r="C35" s="139"/>
      <c r="D35" s="140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25">
      <c r="A36" s="1"/>
      <c r="B36" s="138" t="s">
        <v>110</v>
      </c>
      <c r="C36" s="139"/>
      <c r="D36" s="140"/>
      <c r="E36" s="9">
        <v>4</v>
      </c>
      <c r="F36" s="14" t="s">
        <v>19</v>
      </c>
      <c r="G36" s="1"/>
    </row>
    <row r="37" spans="1:7" x14ac:dyDescent="0.25">
      <c r="A37" s="1"/>
      <c r="B37" s="137" t="s">
        <v>160</v>
      </c>
      <c r="C37" s="137"/>
      <c r="D37" s="137"/>
      <c r="E37" s="10">
        <f>E35/E36</f>
        <v>0</v>
      </c>
      <c r="F37" s="17" t="s">
        <v>3</v>
      </c>
      <c r="G37" s="1"/>
    </row>
    <row r="38" spans="1:7" x14ac:dyDescent="0.25">
      <c r="A38" s="1"/>
      <c r="B38" s="131"/>
      <c r="C38" s="132"/>
      <c r="D38" s="132"/>
      <c r="E38" s="132"/>
      <c r="F38" s="133"/>
      <c r="G38" s="1"/>
    </row>
    <row r="39" spans="1:7" ht="75" customHeight="1" x14ac:dyDescent="0.25">
      <c r="A39" s="1"/>
      <c r="B39" s="92" t="s">
        <v>252</v>
      </c>
      <c r="C39" s="93"/>
      <c r="D39" s="93"/>
      <c r="E39" s="93"/>
      <c r="F39" s="94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hzmreHeBgepRbSCT+hOg/8N3CS9pb5Da3fsGQTQGK+0WBi8jQ3fzRD5O9lvDBAUwpeB6qejdBi5ltgwoWTRBgQ==" saltValue="GvYrOJDL7GWtMz5XPaU+MQ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3:F4"/>
    <mergeCell ref="B17:D17"/>
    <mergeCell ref="B9:D9"/>
    <mergeCell ref="B8:F8"/>
    <mergeCell ref="B10:D10"/>
    <mergeCell ref="B11:D11"/>
    <mergeCell ref="B29:F29"/>
    <mergeCell ref="B30:D30"/>
    <mergeCell ref="B37:D37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169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157</v>
      </c>
      <c r="C8" s="117"/>
      <c r="D8" s="117"/>
      <c r="E8" s="117"/>
      <c r="F8" s="117"/>
      <c r="G8" s="117"/>
      <c r="H8" s="11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7"/>
      <c r="I9" s="1"/>
    </row>
    <row r="10" spans="1:9" x14ac:dyDescent="0.25">
      <c r="A10" s="1"/>
      <c r="B10" s="47" t="s">
        <v>255</v>
      </c>
      <c r="C10" s="48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6" t="s">
        <v>158</v>
      </c>
      <c r="C11" s="117"/>
      <c r="D11" s="11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OA5cmpNIUvwqsxCCseEsZTzvjhCUFFHIVXMyXJtMttta4LWYMLzwjbQD7qO5g8gNgA3aypy4I7lc4HxQzHIM/g==" saltValue="gGo0YRB/PlecFPgLe3mPk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168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84</v>
      </c>
      <c r="C8" s="55"/>
      <c r="D8" s="55"/>
      <c r="E8" s="55"/>
      <c r="F8" s="20"/>
      <c r="G8" s="1"/>
    </row>
    <row r="9" spans="1:7" ht="17.25" customHeight="1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280799</v>
      </c>
      <c r="D11" s="14" t="s">
        <v>3</v>
      </c>
      <c r="E11" s="9">
        <v>33224</v>
      </c>
      <c r="F11" s="14" t="s">
        <v>3</v>
      </c>
      <c r="G11" s="1"/>
    </row>
    <row r="12" spans="1:7" x14ac:dyDescent="0.25">
      <c r="A12" s="1"/>
      <c r="B12" s="54" t="s">
        <v>136</v>
      </c>
      <c r="C12" s="12">
        <f>SUM(C10:C11)</f>
        <v>280799</v>
      </c>
      <c r="D12" s="13" t="s">
        <v>3</v>
      </c>
      <c r="E12" s="12">
        <f>SUM(E10:E11)</f>
        <v>33224</v>
      </c>
      <c r="F12" s="13" t="s">
        <v>3</v>
      </c>
      <c r="G12" s="1"/>
    </row>
    <row r="13" spans="1:7" x14ac:dyDescent="0.25">
      <c r="A13" s="1"/>
      <c r="B13" s="54" t="s">
        <v>210</v>
      </c>
      <c r="C13" s="12">
        <f>C12*(1+'Fane 12. Nøgletal'!C14)</f>
        <v>281725.63670000003</v>
      </c>
      <c r="D13" s="13" t="s">
        <v>3</v>
      </c>
      <c r="E13" s="12">
        <f>E12*(1+'Fane 12. Nøgletal'!C14)</f>
        <v>33333.639200000005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BSQI4x3hrWUjoPHpqXc8CYG9yhk36hlsm9wUw63QBDH+EPQwOKBMp4s67h30HWE7auoQ8Pvvjd2btQou4CCnCA==" saltValue="sDAYw1uwSLCu9Vx2z811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90" t="s">
        <v>167</v>
      </c>
      <c r="C3" s="90"/>
      <c r="D3" s="90"/>
      <c r="E3" s="90"/>
      <c r="F3" s="90"/>
      <c r="G3" s="1"/>
    </row>
    <row r="4" spans="1:7" ht="15" customHeight="1" x14ac:dyDescent="0.25">
      <c r="A4" s="1"/>
      <c r="B4" s="90"/>
      <c r="C4" s="90"/>
      <c r="D4" s="90"/>
      <c r="E4" s="90"/>
      <c r="F4" s="90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102</v>
      </c>
      <c r="C8" s="117"/>
      <c r="D8" s="117"/>
      <c r="E8" s="117"/>
      <c r="F8" s="118"/>
      <c r="G8" s="1"/>
    </row>
    <row r="9" spans="1:7" x14ac:dyDescent="0.25">
      <c r="A9" s="1"/>
      <c r="B9" s="52" t="s">
        <v>16</v>
      </c>
      <c r="C9" s="52" t="s">
        <v>11</v>
      </c>
      <c r="D9" s="53"/>
      <c r="E9" s="52" t="s">
        <v>32</v>
      </c>
      <c r="F9" s="57"/>
      <c r="G9" s="1"/>
    </row>
    <row r="10" spans="1:7" x14ac:dyDescent="0.25">
      <c r="A10" s="1"/>
      <c r="B10" s="25" t="s">
        <v>233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4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6" t="s">
        <v>103</v>
      </c>
      <c r="C16" s="117"/>
      <c r="D16" s="117"/>
      <c r="E16" s="117"/>
      <c r="F16" s="118"/>
      <c r="G16" s="1"/>
    </row>
    <row r="17" spans="1:7" x14ac:dyDescent="0.25">
      <c r="A17" s="1"/>
      <c r="B17" s="52" t="s">
        <v>16</v>
      </c>
      <c r="C17" s="52" t="s">
        <v>11</v>
      </c>
      <c r="D17" s="53"/>
      <c r="E17" s="52" t="s">
        <v>32</v>
      </c>
      <c r="F17" s="57"/>
      <c r="G17" s="1"/>
    </row>
    <row r="18" spans="1:7" x14ac:dyDescent="0.25">
      <c r="A18" s="1"/>
      <c r="B18" s="25" t="s">
        <v>233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4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4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6" t="s">
        <v>138</v>
      </c>
      <c r="C24" s="117"/>
      <c r="D24" s="117"/>
      <c r="E24" s="117"/>
      <c r="F24" s="118"/>
      <c r="G24" s="1"/>
    </row>
    <row r="25" spans="1:7" x14ac:dyDescent="0.25">
      <c r="A25" s="1"/>
      <c r="B25" s="52" t="s">
        <v>16</v>
      </c>
      <c r="C25" s="52" t="s">
        <v>11</v>
      </c>
      <c r="D25" s="53"/>
      <c r="E25" s="52" t="s">
        <v>32</v>
      </c>
      <c r="F25" s="57"/>
      <c r="G25" s="1"/>
    </row>
    <row r="26" spans="1:7" x14ac:dyDescent="0.25">
      <c r="A26" s="1"/>
      <c r="B26" s="25" t="s">
        <v>233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4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4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6" t="s">
        <v>212</v>
      </c>
      <c r="C32" s="117"/>
      <c r="D32" s="117"/>
      <c r="E32" s="117"/>
      <c r="F32" s="118"/>
      <c r="G32" s="1"/>
    </row>
    <row r="33" spans="1:7" x14ac:dyDescent="0.25">
      <c r="A33" s="1"/>
      <c r="B33" s="52" t="s">
        <v>16</v>
      </c>
      <c r="C33" s="52" t="s">
        <v>11</v>
      </c>
      <c r="D33" s="53"/>
      <c r="E33" s="52" t="s">
        <v>32</v>
      </c>
      <c r="F33" s="57"/>
      <c r="G33" s="1"/>
    </row>
    <row r="34" spans="1:7" x14ac:dyDescent="0.25">
      <c r="A34" s="1"/>
      <c r="B34" s="25" t="s">
        <v>233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4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4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2X7Gn6i/pe+ny73iD6butXoJO85e8NU9MUOKVMLhMIGG+E02FPm+ZfcrfkIu5iTZh2A+v0DX/KB8cbhNpzLyWw==" saltValue="MbvWYO6r+ab82/m5D574O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166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130</v>
      </c>
      <c r="C8" s="117"/>
      <c r="D8" s="117"/>
      <c r="E8" s="117"/>
      <c r="F8" s="118"/>
      <c r="G8" s="1"/>
    </row>
    <row r="9" spans="1:7" ht="15" customHeight="1" x14ac:dyDescent="0.25">
      <c r="A9" s="1"/>
      <c r="B9" s="56" t="s">
        <v>131</v>
      </c>
      <c r="C9" s="101" t="s">
        <v>11</v>
      </c>
      <c r="D9" s="103"/>
      <c r="E9" s="101" t="s">
        <v>32</v>
      </c>
      <c r="F9" s="103"/>
      <c r="G9" s="1"/>
    </row>
    <row r="10" spans="1:7" x14ac:dyDescent="0.25">
      <c r="A10" s="1"/>
      <c r="B10" s="25" t="s">
        <v>228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b43Tn/9hHBI4DRVJn78R0VTybzkJnzuT8+kqcCU5Dm+eCtTmdAd2YFv2qpr+0qqvj340+WCrsg41ekn5Q9SgJQ==" saltValue="zckxRUZJ6wJR7vtUNwHuu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165</v>
      </c>
      <c r="C3" s="109"/>
      <c r="D3" s="109"/>
      <c r="E3" s="109"/>
      <c r="F3" s="109"/>
      <c r="G3" s="1"/>
    </row>
    <row r="4" spans="1:7" ht="25.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6" t="s">
        <v>98</v>
      </c>
      <c r="C8" s="117"/>
      <c r="D8" s="117"/>
      <c r="E8" s="117"/>
      <c r="F8" s="118"/>
      <c r="G8" s="1"/>
    </row>
    <row r="9" spans="1:7" ht="15" customHeight="1" x14ac:dyDescent="0.25">
      <c r="A9" s="1"/>
      <c r="B9" s="56" t="s">
        <v>17</v>
      </c>
      <c r="C9" s="56" t="s">
        <v>11</v>
      </c>
      <c r="D9" s="57"/>
      <c r="E9" s="56" t="s">
        <v>32</v>
      </c>
      <c r="F9" s="57"/>
      <c r="G9" s="1"/>
    </row>
    <row r="10" spans="1:7" x14ac:dyDescent="0.25">
      <c r="A10" s="1"/>
      <c r="B10" s="25" t="s">
        <v>234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4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4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6" t="s">
        <v>99</v>
      </c>
      <c r="C15" s="117"/>
      <c r="D15" s="117"/>
      <c r="E15" s="117"/>
      <c r="F15" s="118"/>
      <c r="G15" s="1"/>
    </row>
    <row r="16" spans="1:7" ht="26.25" x14ac:dyDescent="0.25">
      <c r="A16" s="1"/>
      <c r="B16" s="56" t="s">
        <v>17</v>
      </c>
      <c r="C16" s="56" t="s">
        <v>11</v>
      </c>
      <c r="D16" s="57"/>
      <c r="E16" s="56" t="s">
        <v>32</v>
      </c>
      <c r="F16" s="57"/>
      <c r="G16" s="1"/>
    </row>
    <row r="17" spans="1:7" x14ac:dyDescent="0.25">
      <c r="A17" s="1"/>
      <c r="B17" s="25" t="s">
        <v>234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4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4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6" t="s">
        <v>142</v>
      </c>
      <c r="C22" s="117"/>
      <c r="D22" s="117"/>
      <c r="E22" s="117"/>
      <c r="F22" s="118"/>
      <c r="G22" s="1"/>
    </row>
    <row r="23" spans="1:7" ht="26.25" x14ac:dyDescent="0.25">
      <c r="A23" s="1"/>
      <c r="B23" s="56" t="s">
        <v>17</v>
      </c>
      <c r="C23" s="56" t="s">
        <v>11</v>
      </c>
      <c r="D23" s="57"/>
      <c r="E23" s="56" t="s">
        <v>32</v>
      </c>
      <c r="F23" s="57"/>
      <c r="G23" s="1"/>
    </row>
    <row r="24" spans="1:7" x14ac:dyDescent="0.25">
      <c r="A24" s="1"/>
      <c r="B24" s="25" t="s">
        <v>234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4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4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6" t="s">
        <v>215</v>
      </c>
      <c r="C29" s="117"/>
      <c r="D29" s="117"/>
      <c r="E29" s="117"/>
      <c r="F29" s="118"/>
      <c r="G29" s="1"/>
    </row>
    <row r="30" spans="1:7" ht="26.25" x14ac:dyDescent="0.25">
      <c r="A30" s="1"/>
      <c r="B30" s="56" t="s">
        <v>17</v>
      </c>
      <c r="C30" s="56" t="s">
        <v>11</v>
      </c>
      <c r="D30" s="57"/>
      <c r="E30" s="56" t="s">
        <v>32</v>
      </c>
      <c r="F30" s="57"/>
      <c r="G30" s="1"/>
    </row>
    <row r="31" spans="1:7" x14ac:dyDescent="0.25">
      <c r="A31" s="1"/>
      <c r="B31" s="25" t="s">
        <v>234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4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4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vSKTxGv6wuxXkSckAOZn7Np9TpCR3NK04nK42Pb2HPLpz8tbMYoTe80LJ8ga54xbfMQfRr4LxLAGcMHTikuOwQ==" saltValue="RPYu1+rpO04Q2epnvKFkDg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9" t="s">
        <v>164</v>
      </c>
      <c r="C3" s="109"/>
      <c r="D3" s="1"/>
    </row>
    <row r="4" spans="1:4" ht="25.5" customHeight="1" x14ac:dyDescent="0.25">
      <c r="A4" s="1"/>
      <c r="B4" s="109"/>
      <c r="C4" s="10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4" t="s">
        <v>14</v>
      </c>
      <c r="C8" s="20"/>
      <c r="D8" s="1"/>
    </row>
    <row r="9" spans="1:4" x14ac:dyDescent="0.25">
      <c r="A9" s="1"/>
      <c r="B9" s="66" t="s">
        <v>118</v>
      </c>
      <c r="C9" s="26">
        <v>1.2699999999999999E-2</v>
      </c>
      <c r="D9" s="1"/>
    </row>
    <row r="10" spans="1:4" x14ac:dyDescent="0.25">
      <c r="A10" s="1"/>
      <c r="B10" s="66" t="s">
        <v>22</v>
      </c>
      <c r="C10" s="26">
        <v>1.7500000000000002E-2</v>
      </c>
      <c r="D10" s="1"/>
    </row>
    <row r="11" spans="1:4" x14ac:dyDescent="0.25">
      <c r="A11" s="1"/>
      <c r="B11" s="66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49">
        <v>3.3E-3</v>
      </c>
      <c r="D14" s="1"/>
    </row>
    <row r="15" spans="1:4" x14ac:dyDescent="0.25">
      <c r="A15" s="1"/>
      <c r="B15" s="116"/>
      <c r="C15" s="118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4" t="s">
        <v>106</v>
      </c>
      <c r="C18" s="20"/>
      <c r="D18" s="1"/>
    </row>
    <row r="19" spans="1:4" x14ac:dyDescent="0.25">
      <c r="A19" s="1"/>
      <c r="B19" s="66" t="s">
        <v>120</v>
      </c>
      <c r="C19" s="23">
        <v>9.1000000000000004E-3</v>
      </c>
      <c r="D19" s="1"/>
    </row>
    <row r="20" spans="1:4" x14ac:dyDescent="0.25">
      <c r="A20" s="1"/>
      <c r="B20" s="66" t="s">
        <v>121</v>
      </c>
      <c r="C20" s="23">
        <v>1.77E-2</v>
      </c>
      <c r="D20" s="1"/>
    </row>
    <row r="21" spans="1:4" x14ac:dyDescent="0.25">
      <c r="A21" s="1"/>
      <c r="B21" s="66" t="s">
        <v>122</v>
      </c>
      <c r="C21" s="23">
        <v>8.6999999999999994E-3</v>
      </c>
      <c r="D21" s="1"/>
    </row>
    <row r="22" spans="1:4" x14ac:dyDescent="0.25">
      <c r="A22" s="1"/>
      <c r="B22" s="66" t="s">
        <v>123</v>
      </c>
      <c r="C22" s="35">
        <v>2.8400000000000002E-2</v>
      </c>
      <c r="D22" s="1"/>
    </row>
    <row r="23" spans="1:4" x14ac:dyDescent="0.25">
      <c r="A23" s="1"/>
      <c r="B23" s="66" t="s">
        <v>146</v>
      </c>
      <c r="C23" s="35">
        <v>2.75E-2</v>
      </c>
      <c r="D23" s="1"/>
    </row>
    <row r="24" spans="1:4" x14ac:dyDescent="0.25">
      <c r="A24" s="1"/>
      <c r="B24" s="66" t="s">
        <v>218</v>
      </c>
      <c r="C24" s="35">
        <v>1.4800000000000001E-2</v>
      </c>
      <c r="D24" s="1"/>
    </row>
    <row r="25" spans="1:4" x14ac:dyDescent="0.25">
      <c r="A25" s="1"/>
      <c r="B25" s="54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4" t="s">
        <v>107</v>
      </c>
      <c r="C28" s="20"/>
      <c r="D28" s="1"/>
    </row>
    <row r="29" spans="1:4" x14ac:dyDescent="0.25">
      <c r="A29" s="1"/>
      <c r="B29" s="66" t="s">
        <v>124</v>
      </c>
      <c r="C29" s="26">
        <v>0.02</v>
      </c>
      <c r="D29" s="1"/>
    </row>
    <row r="30" spans="1:4" x14ac:dyDescent="0.25">
      <c r="A30" s="1"/>
      <c r="B30" s="54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Oos2EduApMq7GgL2IYavOrws3Yn295eX+pHHzOOWfSGRybwsEUj+Z7ORqTzJspL/O7uLYEf/QPvXJy0UblJwFA==" saltValue="i0USQcUL6bRWVorg5QfyRA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184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x14ac:dyDescent="0.25">
      <c r="A9" s="1"/>
      <c r="B9" s="59" t="s">
        <v>24</v>
      </c>
      <c r="C9" s="7">
        <f>'Fane 3. Omkostninger i ØR2021'!E20</f>
        <v>24999585.295916982</v>
      </c>
      <c r="D9" s="8" t="s">
        <v>3</v>
      </c>
      <c r="E9" s="1"/>
    </row>
    <row r="10" spans="1:5" x14ac:dyDescent="0.25">
      <c r="A10" s="1"/>
      <c r="B10" s="50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135330.71807546221</v>
      </c>
      <c r="D10" s="8" t="s">
        <v>3</v>
      </c>
      <c r="E10" s="1"/>
    </row>
    <row r="11" spans="1:5" x14ac:dyDescent="0.25">
      <c r="A11" s="1"/>
      <c r="B11" s="50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1504983.442485041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tillæg'!C13</f>
        <v>281725.63670000003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tillæg'!E13</f>
        <v>33333.639200000005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306034.63622065721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-13259.517889048397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drift'!G39</f>
        <v>-260177.94701784238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anlæg'!G39</f>
        <v>-346783.93523929309</v>
      </c>
      <c r="D21" s="8" t="s">
        <v>3</v>
      </c>
      <c r="E21" s="1"/>
    </row>
    <row r="22" spans="1:5" ht="17.100000000000001" customHeight="1" x14ac:dyDescent="0.25">
      <c r="A22" s="1"/>
      <c r="B22" s="67" t="s">
        <v>20</v>
      </c>
      <c r="C22" s="10">
        <f>SUM(C9,C12:C21)</f>
        <v>25000457.807891455</v>
      </c>
      <c r="D22" s="11" t="s">
        <v>3</v>
      </c>
      <c r="E22" s="1"/>
    </row>
    <row r="23" spans="1:5" ht="15" customHeight="1" x14ac:dyDescent="0.25">
      <c r="A23" s="1"/>
      <c r="B23" s="54" t="s">
        <v>12</v>
      </c>
      <c r="C23" s="55"/>
      <c r="D23" s="20"/>
      <c r="E23" s="1"/>
    </row>
    <row r="24" spans="1:5" ht="15" customHeight="1" x14ac:dyDescent="0.25">
      <c r="A24" s="1"/>
      <c r="B24" s="56" t="s">
        <v>12</v>
      </c>
      <c r="C24" s="10">
        <f>'Fane 6. Ikke-påvirkelige omk.'!C15</f>
        <v>15566465.343297372</v>
      </c>
      <c r="D24" s="11" t="s">
        <v>3</v>
      </c>
      <c r="E24" s="1"/>
    </row>
    <row r="25" spans="1:5" ht="15" customHeight="1" x14ac:dyDescent="0.25">
      <c r="A25" s="1"/>
      <c r="B25" s="54" t="s">
        <v>89</v>
      </c>
      <c r="C25" s="55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7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5"/>
      <c r="D29" s="20"/>
      <c r="E29" s="1"/>
    </row>
    <row r="30" spans="1:5" x14ac:dyDescent="0.25">
      <c r="A30" s="1"/>
      <c r="B30" s="70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25">
      <c r="A31" s="1"/>
      <c r="B31" s="36" t="s">
        <v>225</v>
      </c>
      <c r="C31" s="55"/>
      <c r="D31" s="20"/>
      <c r="E31" s="1"/>
    </row>
    <row r="32" spans="1:5" x14ac:dyDescent="0.25">
      <c r="A32" s="1"/>
      <c r="B32" s="70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4" t="s">
        <v>30</v>
      </c>
      <c r="C33" s="31">
        <f>SUM(C22,C24,C28,C30,C32)</f>
        <v>40566923.151188828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daZdX1dxwmBGYMSv4PxEJVtgNBerxXwDz+JUmBLHg5zYoTIUkaEElkKxfpjB57hFNXv9JAaju4wIdT63ot7duw==" saltValue="Fo771eZ9B9sUpuQGgjfSu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185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4" t="s">
        <v>13</v>
      </c>
      <c r="C8" s="55"/>
      <c r="D8" s="20"/>
      <c r="E8" s="1"/>
    </row>
    <row r="9" spans="1:5" ht="15" customHeight="1" x14ac:dyDescent="0.25">
      <c r="A9" s="1"/>
      <c r="B9" s="59" t="s">
        <v>134</v>
      </c>
      <c r="C9" s="7">
        <f>'Fane 2.1. Økonomisk ramme 2022'!C22</f>
        <v>25000457.807891455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50" t="s">
        <v>18</v>
      </c>
      <c r="C12" s="9">
        <f>SUM(C9:C11)*'Fane 12. Nøgletal'!C14</f>
        <v>82501.5107660418</v>
      </c>
      <c r="D12" s="8" t="s">
        <v>3</v>
      </c>
      <c r="E12" s="1"/>
    </row>
    <row r="13" spans="1:5" ht="15" customHeight="1" x14ac:dyDescent="0.25">
      <c r="A13" s="1"/>
      <c r="B13" s="50" t="s">
        <v>9</v>
      </c>
      <c r="C13" s="9">
        <f>-SUM(C9:C12)*'Fane 5. Individuelt eff. krav'!G10</f>
        <v>-12981.230711934983</v>
      </c>
      <c r="D13" s="8" t="s">
        <v>3</v>
      </c>
      <c r="E13" s="1"/>
    </row>
    <row r="14" spans="1:5" ht="15" customHeight="1" x14ac:dyDescent="0.25">
      <c r="A14" s="1"/>
      <c r="B14" s="50" t="s">
        <v>25</v>
      </c>
      <c r="C14" s="9">
        <f>-'Fane 4.1. Gen. krav - drift'!G45</f>
        <v>-255815.80355814126</v>
      </c>
      <c r="D14" s="8" t="s">
        <v>3</v>
      </c>
      <c r="E14" s="1"/>
    </row>
    <row r="15" spans="1:5" ht="15" customHeight="1" x14ac:dyDescent="0.25">
      <c r="A15" s="1"/>
      <c r="B15" s="50" t="s">
        <v>26</v>
      </c>
      <c r="C15" s="9">
        <f>-'Fane 4.2. Gen. krav - anlæg'!G45</f>
        <v>-182328.69645186872</v>
      </c>
      <c r="D15" s="8" t="s">
        <v>3</v>
      </c>
      <c r="E15" s="1"/>
    </row>
    <row r="16" spans="1:5" ht="15" customHeight="1" x14ac:dyDescent="0.25">
      <c r="A16" s="1"/>
      <c r="B16" s="51" t="s">
        <v>20</v>
      </c>
      <c r="C16" s="10">
        <f>SUM(C9:C15)</f>
        <v>24631833.587935552</v>
      </c>
      <c r="D16" s="11" t="s">
        <v>3</v>
      </c>
      <c r="E16" s="1"/>
    </row>
    <row r="17" spans="1:5" x14ac:dyDescent="0.25">
      <c r="A17" s="1"/>
      <c r="B17" s="54" t="s">
        <v>12</v>
      </c>
      <c r="C17" s="55"/>
      <c r="D17" s="20"/>
      <c r="E17" s="1"/>
    </row>
    <row r="18" spans="1:5" ht="15" customHeight="1" x14ac:dyDescent="0.25">
      <c r="A18" s="1"/>
      <c r="B18" s="56" t="s">
        <v>12</v>
      </c>
      <c r="C18" s="10">
        <f>'Fane 6. Ikke-påvirkelige omk.'!C15*(1+'Fane 12. Nøgletal'!C14)</f>
        <v>15617834.678930255</v>
      </c>
      <c r="D18" s="11" t="s">
        <v>3</v>
      </c>
      <c r="E18" s="1"/>
    </row>
    <row r="19" spans="1:5" ht="15" customHeight="1" x14ac:dyDescent="0.25">
      <c r="A19" s="1"/>
      <c r="B19" s="54" t="s">
        <v>89</v>
      </c>
      <c r="C19" s="55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7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5"/>
      <c r="D23" s="20"/>
      <c r="E23" s="1"/>
    </row>
    <row r="24" spans="1:5" ht="15" customHeight="1" x14ac:dyDescent="0.25">
      <c r="A24" s="1"/>
      <c r="B24" s="70" t="s">
        <v>162</v>
      </c>
      <c r="C24" s="10">
        <f>'Fane 7. Kontrol af ØR2020'!E37</f>
        <v>0</v>
      </c>
      <c r="D24" s="11" t="s">
        <v>3</v>
      </c>
      <c r="E24" s="1"/>
    </row>
    <row r="25" spans="1:5" x14ac:dyDescent="0.25">
      <c r="A25" s="1"/>
      <c r="B25" s="36" t="s">
        <v>225</v>
      </c>
      <c r="C25" s="55"/>
      <c r="D25" s="20"/>
      <c r="E25" s="1"/>
    </row>
    <row r="26" spans="1:5" x14ac:dyDescent="0.25">
      <c r="A26" s="1"/>
      <c r="B26" s="70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4" t="s">
        <v>97</v>
      </c>
      <c r="C27" s="12">
        <f>SUM(C16,C18,C22,C24,C26)</f>
        <v>40249668.266865805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LF6/pTaL1H+cbZZzU8xYEjeXw97iCR5e7kf2hEUuLB4dP8D8MB5CfFfc/hX5Lp+p3fCu4H1XgNsEm2o8s2rMbw==" saltValue="tTY7KLpEsvin5EjvZ1IUr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186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135</v>
      </c>
      <c r="C8" s="7">
        <f>'Fane 2.2. Økonomisk ramme 2023'!C16</f>
        <v>24631833.587935552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81285.050840187323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-12789.82637518143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drift'!G51</f>
        <v>-251526.7957956855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43">
        <f>-'Fane 4.2. Gen. krav - anlæg'!G51</f>
        <v>-180223.01150913752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24268579.005095731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omk.'!C15*(1+'Fane 12. Nøgletal'!C14)^2</f>
        <v>15669373.533370726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5"/>
      <c r="D24" s="20"/>
      <c r="E24" s="1"/>
    </row>
    <row r="25" spans="1:5" ht="15" customHeight="1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187</v>
      </c>
      <c r="C26" s="12">
        <f>SUM(C15,C17,C21,C23,C25)</f>
        <v>39937952.538466454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Tg7E0Ev3Ak2QGCmSfaPjUd7CNWR48CXHsAWyFB/MG4at8s+AusYQmnShZwaaYCl1o9C4k0AeKiSJEWuwYB5F3w==" saltValue="RAGKZ8G3J2gemHwg6bNY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90" t="s">
        <v>188</v>
      </c>
      <c r="C3" s="90"/>
      <c r="D3" s="90"/>
      <c r="E3" s="1"/>
    </row>
    <row r="4" spans="1:5" ht="15" customHeight="1" x14ac:dyDescent="0.25">
      <c r="A4" s="1"/>
      <c r="B4" s="90"/>
      <c r="C4" s="90"/>
      <c r="D4" s="90"/>
      <c r="E4" s="1"/>
    </row>
    <row r="5" spans="1:5" x14ac:dyDescent="0.25">
      <c r="A5" s="1"/>
      <c r="B5" s="91" t="s">
        <v>21</v>
      </c>
      <c r="C5" s="91"/>
      <c r="D5" s="9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4" t="s">
        <v>13</v>
      </c>
      <c r="C7" s="55"/>
      <c r="D7" s="20"/>
      <c r="E7" s="1"/>
    </row>
    <row r="8" spans="1:5" ht="15" customHeight="1" x14ac:dyDescent="0.25">
      <c r="A8" s="1"/>
      <c r="B8" s="59" t="s">
        <v>189</v>
      </c>
      <c r="C8" s="7">
        <f>'Fane 2.3. Økonomisk ramme 2024'!C15</f>
        <v>24268579.005095731</v>
      </c>
      <c r="D8" s="8" t="s">
        <v>3</v>
      </c>
      <c r="E8" s="1"/>
    </row>
    <row r="9" spans="1:5" ht="15" customHeight="1" x14ac:dyDescent="0.25">
      <c r="A9" s="1"/>
      <c r="B9" s="59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9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50" t="s">
        <v>18</v>
      </c>
      <c r="C11" s="9">
        <f>SUM(C8:C10)*'Fane 12. Nøgletal'!C14</f>
        <v>80086.310716815919</v>
      </c>
      <c r="D11" s="8" t="s">
        <v>3</v>
      </c>
      <c r="E11" s="1"/>
    </row>
    <row r="12" spans="1:5" ht="15" customHeight="1" x14ac:dyDescent="0.25">
      <c r="A12" s="1"/>
      <c r="B12" s="50" t="s">
        <v>9</v>
      </c>
      <c r="C12" s="9">
        <f>-SUM(C8:C11)*'Fane 5. Individuelt eff. krav'!G10</f>
        <v>-12601.210167300511</v>
      </c>
      <c r="D12" s="8" t="s">
        <v>3</v>
      </c>
      <c r="E12" s="1"/>
    </row>
    <row r="13" spans="1:5" ht="15" customHeight="1" x14ac:dyDescent="0.25">
      <c r="A13" s="1"/>
      <c r="B13" s="50" t="s">
        <v>25</v>
      </c>
      <c r="C13" s="9">
        <f>-'Fane 4.1. Gen. krav - drift'!G57</f>
        <v>-247309.69753737506</v>
      </c>
      <c r="D13" s="8" t="s">
        <v>3</v>
      </c>
      <c r="E13" s="1"/>
    </row>
    <row r="14" spans="1:5" ht="15" customHeight="1" x14ac:dyDescent="0.25">
      <c r="A14" s="1"/>
      <c r="B14" s="50" t="s">
        <v>26</v>
      </c>
      <c r="C14" s="9">
        <f>-'Fane 4.2. Gen. krav - anlæg'!G57</f>
        <v>-178141.64478490036</v>
      </c>
      <c r="D14" s="8" t="s">
        <v>3</v>
      </c>
      <c r="E14" s="1"/>
    </row>
    <row r="15" spans="1:5" x14ac:dyDescent="0.25">
      <c r="A15" s="1"/>
      <c r="B15" s="51" t="s">
        <v>20</v>
      </c>
      <c r="C15" s="10">
        <f>SUM(C8:C14)</f>
        <v>23910612.763322972</v>
      </c>
      <c r="D15" s="11" t="s">
        <v>3</v>
      </c>
      <c r="E15" s="1"/>
    </row>
    <row r="16" spans="1:5" x14ac:dyDescent="0.25">
      <c r="A16" s="1"/>
      <c r="B16" s="54" t="s">
        <v>12</v>
      </c>
      <c r="C16" s="55"/>
      <c r="D16" s="20"/>
      <c r="E16" s="1"/>
    </row>
    <row r="17" spans="1:5" ht="15" customHeight="1" x14ac:dyDescent="0.25">
      <c r="A17" s="1"/>
      <c r="B17" s="56" t="s">
        <v>12</v>
      </c>
      <c r="C17" s="10">
        <f>'Fane 6. Ikke-påvirkelige omk.'!C15*(1+'Fane 12. Nøgletal'!C14)^3</f>
        <v>15721082.466030849</v>
      </c>
      <c r="D17" s="11" t="s">
        <v>3</v>
      </c>
      <c r="E17" s="1"/>
    </row>
    <row r="18" spans="1:5" ht="15" customHeight="1" x14ac:dyDescent="0.25">
      <c r="A18" s="1"/>
      <c r="B18" s="54" t="s">
        <v>89</v>
      </c>
      <c r="C18" s="55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7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4" t="s">
        <v>161</v>
      </c>
      <c r="C22" s="55"/>
      <c r="D22" s="20"/>
      <c r="E22" s="1"/>
    </row>
    <row r="23" spans="1:5" x14ac:dyDescent="0.25">
      <c r="A23" s="1"/>
      <c r="B23" s="56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25">
      <c r="A24" s="1"/>
      <c r="B24" s="36" t="s">
        <v>225</v>
      </c>
      <c r="C24" s="55"/>
      <c r="D24" s="20"/>
      <c r="E24" s="1"/>
    </row>
    <row r="25" spans="1:5" x14ac:dyDescent="0.25">
      <c r="A25" s="1"/>
      <c r="B25" s="70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4" t="s">
        <v>190</v>
      </c>
      <c r="C26" s="12">
        <f>SUM(C15,C17,C21,C23,C25)</f>
        <v>39631695.229353823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a22wEQzrhDb9g3AZJTearLqaMrtHJkNkjR6YcxLKosPaouObB4BESAWs87XDfjzzmG2kQLI5WWYUvKD9UUVRA==" saltValue="8ou+cJTqudbMp4IXyAEZD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9" t="s">
        <v>191</v>
      </c>
      <c r="C3" s="109"/>
      <c r="D3" s="109"/>
      <c r="E3" s="109"/>
      <c r="F3" s="109"/>
      <c r="G3" s="1"/>
    </row>
    <row r="4" spans="1:7" ht="29.25" customHeight="1" x14ac:dyDescent="0.25">
      <c r="A4" s="1"/>
      <c r="B4" s="109"/>
      <c r="C4" s="109"/>
      <c r="D4" s="109"/>
      <c r="E4" s="109"/>
      <c r="F4" s="10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4" t="s">
        <v>224</v>
      </c>
      <c r="C8" s="55"/>
      <c r="D8" s="55"/>
      <c r="E8" s="55"/>
      <c r="F8" s="20"/>
      <c r="G8" s="1"/>
    </row>
    <row r="9" spans="1:7" x14ac:dyDescent="0.25">
      <c r="A9" s="1"/>
      <c r="B9" s="110" t="s">
        <v>23</v>
      </c>
      <c r="C9" s="111"/>
      <c r="D9" s="112"/>
      <c r="E9" s="7">
        <v>23646209.219536807</v>
      </c>
      <c r="F9" s="8" t="s">
        <v>3</v>
      </c>
      <c r="G9" s="1"/>
    </row>
    <row r="10" spans="1:7" ht="15" customHeight="1" x14ac:dyDescent="0.25">
      <c r="A10" s="1"/>
      <c r="B10" s="95" t="s">
        <v>40</v>
      </c>
      <c r="C10" s="96"/>
      <c r="D10" s="97"/>
      <c r="E10" s="9">
        <v>136500.231</v>
      </c>
      <c r="F10" s="8" t="s">
        <v>3</v>
      </c>
      <c r="G10" s="1"/>
    </row>
    <row r="11" spans="1:7" ht="15" customHeight="1" x14ac:dyDescent="0.25">
      <c r="A11" s="1"/>
      <c r="B11" s="95" t="s">
        <v>41</v>
      </c>
      <c r="C11" s="96"/>
      <c r="D11" s="97"/>
      <c r="E11" s="9">
        <v>1529702.433</v>
      </c>
      <c r="F11" s="8" t="s">
        <v>3</v>
      </c>
      <c r="G11" s="1"/>
    </row>
    <row r="12" spans="1:7" x14ac:dyDescent="0.25">
      <c r="A12" s="1"/>
      <c r="B12" s="95" t="s">
        <v>28</v>
      </c>
      <c r="C12" s="96"/>
      <c r="D12" s="97"/>
      <c r="E12" s="9">
        <v>0</v>
      </c>
      <c r="F12" s="8" t="s">
        <v>3</v>
      </c>
      <c r="G12" s="1"/>
    </row>
    <row r="13" spans="1:7" x14ac:dyDescent="0.25">
      <c r="A13" s="1"/>
      <c r="B13" s="95" t="s">
        <v>27</v>
      </c>
      <c r="C13" s="96"/>
      <c r="D13" s="97"/>
      <c r="E13" s="9">
        <v>0</v>
      </c>
      <c r="F13" s="8" t="s">
        <v>3</v>
      </c>
      <c r="G13" s="1"/>
    </row>
    <row r="14" spans="1:7" x14ac:dyDescent="0.25">
      <c r="A14" s="1"/>
      <c r="B14" s="95" t="s">
        <v>132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95" t="s">
        <v>133</v>
      </c>
      <c r="C15" s="96"/>
      <c r="D15" s="97"/>
      <c r="E15" s="9">
        <v>0</v>
      </c>
      <c r="F15" s="8" t="s">
        <v>3</v>
      </c>
      <c r="G15" s="1"/>
    </row>
    <row r="16" spans="1:7" x14ac:dyDescent="0.25">
      <c r="A16" s="1"/>
      <c r="B16" s="95" t="s">
        <v>18</v>
      </c>
      <c r="C16" s="96"/>
      <c r="D16" s="97"/>
      <c r="E16" s="9">
        <v>308811.42497914901</v>
      </c>
      <c r="F16" s="8" t="s">
        <v>3</v>
      </c>
      <c r="G16" s="1"/>
    </row>
    <row r="17" spans="1:7" x14ac:dyDescent="0.25">
      <c r="A17" s="1"/>
      <c r="B17" s="95" t="s">
        <v>9</v>
      </c>
      <c r="C17" s="96"/>
      <c r="D17" s="97"/>
      <c r="E17" s="9">
        <v>-13259.7994783836</v>
      </c>
      <c r="F17" s="8" t="s">
        <v>3</v>
      </c>
      <c r="G17" s="1"/>
    </row>
    <row r="18" spans="1:7" x14ac:dyDescent="0.25">
      <c r="A18" s="1"/>
      <c r="B18" s="95" t="s">
        <v>25</v>
      </c>
      <c r="C18" s="96"/>
      <c r="D18" s="97"/>
      <c r="E18" s="9">
        <v>-256588.84102905795</v>
      </c>
      <c r="F18" s="8" t="s">
        <v>3</v>
      </c>
      <c r="G18" s="1"/>
    </row>
    <row r="19" spans="1:7" x14ac:dyDescent="0.25">
      <c r="A19" s="1"/>
      <c r="B19" s="95" t="s">
        <v>26</v>
      </c>
      <c r="C19" s="96"/>
      <c r="D19" s="97"/>
      <c r="E19" s="9">
        <v>-351789.3720915317</v>
      </c>
      <c r="F19" s="8" t="s">
        <v>3</v>
      </c>
      <c r="G19" s="1"/>
    </row>
    <row r="20" spans="1:7" x14ac:dyDescent="0.25">
      <c r="A20" s="1"/>
      <c r="B20" s="98" t="s">
        <v>20</v>
      </c>
      <c r="C20" s="99"/>
      <c r="D20" s="100"/>
      <c r="E20" s="10">
        <f>SUM(E9:E19)</f>
        <v>24999585.295916982</v>
      </c>
      <c r="F20" s="11" t="s">
        <v>3</v>
      </c>
      <c r="G20" s="1"/>
    </row>
    <row r="21" spans="1:7" x14ac:dyDescent="0.25">
      <c r="A21" s="1"/>
      <c r="B21" s="54" t="s">
        <v>12</v>
      </c>
      <c r="C21" s="55"/>
      <c r="D21" s="55"/>
      <c r="E21" s="55"/>
      <c r="F21" s="20"/>
      <c r="G21" s="1"/>
    </row>
    <row r="22" spans="1:7" x14ac:dyDescent="0.25">
      <c r="A22" s="1"/>
      <c r="B22" s="106" t="s">
        <v>12</v>
      </c>
      <c r="C22" s="107"/>
      <c r="D22" s="108"/>
      <c r="E22" s="10">
        <v>16261949.626778521</v>
      </c>
      <c r="F22" s="11" t="s">
        <v>3</v>
      </c>
      <c r="G22" s="1"/>
    </row>
    <row r="23" spans="1:7" ht="15" customHeight="1" x14ac:dyDescent="0.25">
      <c r="A23" s="1"/>
      <c r="B23" s="104" t="s">
        <v>89</v>
      </c>
      <c r="C23" s="105"/>
      <c r="D23" s="105"/>
      <c r="E23" s="55"/>
      <c r="F23" s="55"/>
      <c r="G23" s="1"/>
    </row>
    <row r="24" spans="1:7" ht="14.25" customHeight="1" x14ac:dyDescent="0.25">
      <c r="A24" s="1"/>
      <c r="B24" s="92" t="s">
        <v>85</v>
      </c>
      <c r="C24" s="93"/>
      <c r="D24" s="94"/>
      <c r="E24" s="9">
        <v>72581.088923279996</v>
      </c>
      <c r="F24" s="8" t="s">
        <v>3</v>
      </c>
      <c r="G24" s="1"/>
    </row>
    <row r="25" spans="1:7" ht="14.25" customHeight="1" x14ac:dyDescent="0.25">
      <c r="A25" s="1"/>
      <c r="B25" s="92" t="s">
        <v>86</v>
      </c>
      <c r="C25" s="93"/>
      <c r="D25" s="94"/>
      <c r="E25" s="9">
        <v>0</v>
      </c>
      <c r="F25" s="8" t="s">
        <v>3</v>
      </c>
      <c r="G25" s="1"/>
    </row>
    <row r="26" spans="1:7" x14ac:dyDescent="0.25">
      <c r="A26" s="1"/>
      <c r="B26" s="101" t="s">
        <v>90</v>
      </c>
      <c r="C26" s="102"/>
      <c r="D26" s="102"/>
      <c r="E26" s="10">
        <v>71091.90411851168</v>
      </c>
      <c r="F26" s="11" t="s">
        <v>3</v>
      </c>
      <c r="G26" s="1"/>
    </row>
    <row r="27" spans="1:7" x14ac:dyDescent="0.25">
      <c r="A27" s="1"/>
      <c r="B27" s="54" t="s">
        <v>161</v>
      </c>
      <c r="C27" s="55"/>
      <c r="D27" s="55"/>
      <c r="E27" s="55"/>
      <c r="F27" s="20"/>
      <c r="G27" s="1"/>
    </row>
    <row r="28" spans="1:7" ht="15" customHeight="1" x14ac:dyDescent="0.25">
      <c r="A28" s="1"/>
      <c r="B28" s="101" t="s">
        <v>162</v>
      </c>
      <c r="C28" s="102"/>
      <c r="D28" s="103"/>
      <c r="E28" s="10">
        <v>0</v>
      </c>
      <c r="F28" s="11" t="s">
        <v>3</v>
      </c>
      <c r="G28" s="1"/>
    </row>
    <row r="29" spans="1:7" x14ac:dyDescent="0.25">
      <c r="A29" s="1"/>
      <c r="B29" s="54" t="s">
        <v>248</v>
      </c>
      <c r="C29" s="55"/>
      <c r="D29" s="55"/>
      <c r="E29" s="55"/>
      <c r="F29" s="20"/>
      <c r="G29" s="1"/>
    </row>
    <row r="30" spans="1:7" ht="15.6" customHeight="1" x14ac:dyDescent="0.25">
      <c r="A30" s="1"/>
      <c r="B30" s="106" t="s">
        <v>249</v>
      </c>
      <c r="C30" s="107"/>
      <c r="D30" s="108"/>
      <c r="E30" s="10">
        <v>0</v>
      </c>
      <c r="F30" s="11" t="s">
        <v>3</v>
      </c>
      <c r="G30" s="1"/>
    </row>
    <row r="31" spans="1:7" x14ac:dyDescent="0.25">
      <c r="A31" s="1"/>
      <c r="B31" s="54" t="s">
        <v>29</v>
      </c>
      <c r="C31" s="55"/>
      <c r="D31" s="55"/>
      <c r="E31" s="12">
        <f>E20+E22+E26+E28+E30</f>
        <v>41332626.826814011</v>
      </c>
      <c r="F31" s="13" t="s">
        <v>3</v>
      </c>
      <c r="G31" s="1"/>
    </row>
    <row r="32" spans="1:7" ht="27.75" customHeight="1" x14ac:dyDescent="0.25">
      <c r="A32" s="1"/>
      <c r="B32" s="92" t="s">
        <v>192</v>
      </c>
      <c r="C32" s="93"/>
      <c r="D32" s="93"/>
      <c r="E32" s="93"/>
      <c r="F32" s="94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c1V3eQr3hma3/C/ARdW4ndRVv04Shm9B6sRgL534/aW1MF6YXfvZZ7wZU1tlSp+zyD2B1vVcvi1QiLx0pCI/EA==" saltValue="TB6u8ui93ZsQd0SHVszJ4A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8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9" t="s">
        <v>115</v>
      </c>
      <c r="C1" s="109"/>
      <c r="D1" s="109"/>
      <c r="E1" s="109"/>
      <c r="F1" s="109"/>
      <c r="G1" s="109"/>
      <c r="H1" s="109"/>
      <c r="I1" s="1"/>
    </row>
    <row r="2" spans="1:9" ht="15" customHeight="1" x14ac:dyDescent="0.25">
      <c r="A2" s="1"/>
      <c r="B2" s="109"/>
      <c r="C2" s="109"/>
      <c r="D2" s="109"/>
      <c r="E2" s="109"/>
      <c r="F2" s="109"/>
      <c r="G2" s="109"/>
      <c r="H2" s="109"/>
      <c r="I2" s="1"/>
    </row>
    <row r="3" spans="1:9" ht="15" customHeight="1" x14ac:dyDescent="0.25">
      <c r="A3" s="1"/>
      <c r="B3" s="109"/>
      <c r="C3" s="109"/>
      <c r="D3" s="109"/>
      <c r="E3" s="109"/>
      <c r="F3" s="109"/>
      <c r="G3" s="109"/>
      <c r="H3" s="109"/>
      <c r="I3" s="1"/>
    </row>
    <row r="4" spans="1:9" x14ac:dyDescent="0.25">
      <c r="A4" s="1"/>
      <c r="B4" s="116" t="s">
        <v>54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43</v>
      </c>
      <c r="C5" s="114"/>
      <c r="D5" s="114"/>
      <c r="E5" s="114"/>
      <c r="F5" s="115"/>
      <c r="G5" s="24">
        <v>11376379</v>
      </c>
      <c r="H5" s="14" t="s">
        <v>3</v>
      </c>
      <c r="I5" s="1"/>
    </row>
    <row r="6" spans="1:9" x14ac:dyDescent="0.25">
      <c r="A6" s="1"/>
      <c r="B6" s="113" t="s">
        <v>44</v>
      </c>
      <c r="C6" s="114"/>
      <c r="D6" s="114"/>
      <c r="E6" s="114"/>
      <c r="F6" s="115"/>
      <c r="G6" s="24">
        <f>G5*'Fane 12. Nøgletal'!C29</f>
        <v>227527.58000000002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55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45</v>
      </c>
      <c r="C10" s="114"/>
      <c r="D10" s="114"/>
      <c r="E10" s="114"/>
      <c r="F10" s="115"/>
      <c r="G10" s="24">
        <f>(G5+G11-G6)*(1+'Fane 12. Nøgletal'!C9)</f>
        <v>11520867.540233999</v>
      </c>
      <c r="H10" s="14" t="s">
        <v>3</v>
      </c>
      <c r="I10" s="1"/>
    </row>
    <row r="11" spans="1:9" x14ac:dyDescent="0.25">
      <c r="A11" s="1"/>
      <c r="B11" s="71" t="s">
        <v>250</v>
      </c>
      <c r="C11" s="61"/>
      <c r="D11" s="61"/>
      <c r="E11" s="61"/>
      <c r="F11" s="62"/>
      <c r="G11" s="24">
        <v>227536</v>
      </c>
      <c r="H11" s="14" t="s">
        <v>3</v>
      </c>
      <c r="I11" s="1"/>
    </row>
    <row r="12" spans="1:9" x14ac:dyDescent="0.25">
      <c r="A12" s="1"/>
      <c r="B12" s="119" t="s">
        <v>46</v>
      </c>
      <c r="C12" s="120"/>
      <c r="D12" s="120"/>
      <c r="E12" s="120"/>
      <c r="F12" s="121"/>
      <c r="G12" s="24">
        <v>0</v>
      </c>
      <c r="H12" s="14" t="s">
        <v>3</v>
      </c>
      <c r="I12" s="1"/>
    </row>
    <row r="13" spans="1:9" x14ac:dyDescent="0.25">
      <c r="A13" s="1"/>
      <c r="B13" s="113" t="s">
        <v>47</v>
      </c>
      <c r="C13" s="114"/>
      <c r="D13" s="114"/>
      <c r="E13" s="114"/>
      <c r="F13" s="115"/>
      <c r="G13" s="24">
        <f>(G10+G12)*'Fane 12. Nøgletal'!C29</f>
        <v>230417.35080468</v>
      </c>
      <c r="H13" s="14" t="s">
        <v>3</v>
      </c>
      <c r="I13" s="1"/>
    </row>
    <row r="14" spans="1:9" x14ac:dyDescent="0.25">
      <c r="A14" s="1"/>
      <c r="B14" s="54"/>
      <c r="C14" s="55"/>
      <c r="D14" s="55"/>
      <c r="E14" s="55"/>
      <c r="F14" s="55"/>
      <c r="G14" s="55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56</v>
      </c>
      <c r="C16" s="117"/>
      <c r="D16" s="117"/>
      <c r="E16" s="117"/>
      <c r="F16" s="117"/>
      <c r="G16" s="117"/>
      <c r="H16" s="118"/>
      <c r="I16" s="1"/>
    </row>
    <row r="17" spans="1:9" x14ac:dyDescent="0.25">
      <c r="A17" s="1"/>
      <c r="B17" s="113" t="s">
        <v>48</v>
      </c>
      <c r="C17" s="114"/>
      <c r="D17" s="114"/>
      <c r="E17" s="114"/>
      <c r="F17" s="115"/>
      <c r="G17" s="24">
        <f>(G10+G12-G13)*(1+'Fane 12. Nøgletal'!C11)</f>
        <v>11481258.797630675</v>
      </c>
      <c r="H17" s="14" t="s">
        <v>3</v>
      </c>
      <c r="I17" s="1"/>
    </row>
    <row r="18" spans="1:9" x14ac:dyDescent="0.25">
      <c r="A18" s="1"/>
      <c r="B18" s="113" t="s">
        <v>125</v>
      </c>
      <c r="C18" s="114"/>
      <c r="D18" s="114"/>
      <c r="E18" s="114"/>
      <c r="F18" s="115"/>
      <c r="G18" s="24">
        <v>235291.70335695994</v>
      </c>
      <c r="H18" s="14" t="s">
        <v>3</v>
      </c>
      <c r="I18" s="1"/>
    </row>
    <row r="19" spans="1:9" x14ac:dyDescent="0.25">
      <c r="A19" s="1"/>
      <c r="B19" s="119" t="s">
        <v>49</v>
      </c>
      <c r="C19" s="120"/>
      <c r="D19" s="120"/>
      <c r="E19" s="120"/>
      <c r="F19" s="121"/>
      <c r="G19" s="24">
        <v>0</v>
      </c>
      <c r="H19" s="14" t="s">
        <v>3</v>
      </c>
      <c r="I19" s="1"/>
    </row>
    <row r="20" spans="1:9" x14ac:dyDescent="0.25">
      <c r="A20" s="1"/>
      <c r="B20" s="113" t="s">
        <v>50</v>
      </c>
      <c r="C20" s="114"/>
      <c r="D20" s="114"/>
      <c r="E20" s="114"/>
      <c r="F20" s="115"/>
      <c r="G20" s="24">
        <f>SUM(G17:G19)*'Fane 12. Nøgletal'!C29</f>
        <v>234331.01001975272</v>
      </c>
      <c r="H20" s="14" t="s">
        <v>3</v>
      </c>
      <c r="I20" s="1"/>
    </row>
    <row r="21" spans="1:9" x14ac:dyDescent="0.25">
      <c r="A21" s="1"/>
      <c r="B21" s="54"/>
      <c r="C21" s="55"/>
      <c r="D21" s="55"/>
      <c r="E21" s="55"/>
      <c r="F21" s="55"/>
      <c r="G21" s="55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6" t="s">
        <v>57</v>
      </c>
      <c r="C23" s="117"/>
      <c r="D23" s="117"/>
      <c r="E23" s="117"/>
      <c r="F23" s="117"/>
      <c r="G23" s="117"/>
      <c r="H23" s="118"/>
      <c r="I23" s="1"/>
    </row>
    <row r="24" spans="1:9" x14ac:dyDescent="0.25">
      <c r="A24" s="1"/>
      <c r="B24" s="113" t="s">
        <v>51</v>
      </c>
      <c r="C24" s="114"/>
      <c r="D24" s="114"/>
      <c r="E24" s="114"/>
      <c r="F24" s="115"/>
      <c r="G24" s="24">
        <f>(SUM(G17:G19)-G20)*(1+'Fane 12. Nøgletal'!C11)</f>
        <v>11676269.000365239</v>
      </c>
      <c r="H24" s="14" t="s">
        <v>3</v>
      </c>
      <c r="I24" s="1"/>
    </row>
    <row r="25" spans="1:9" x14ac:dyDescent="0.25">
      <c r="A25" s="1"/>
      <c r="B25" s="119" t="s">
        <v>52</v>
      </c>
      <c r="C25" s="120"/>
      <c r="D25" s="120"/>
      <c r="E25" s="120"/>
      <c r="F25" s="121"/>
      <c r="G25" s="24">
        <v>1117924.0058111402</v>
      </c>
      <c r="H25" s="14" t="s">
        <v>3</v>
      </c>
      <c r="I25" s="1"/>
    </row>
    <row r="26" spans="1:9" x14ac:dyDescent="0.25">
      <c r="A26" s="1"/>
      <c r="B26" s="113" t="s">
        <v>53</v>
      </c>
      <c r="C26" s="114"/>
      <c r="D26" s="114"/>
      <c r="E26" s="114"/>
      <c r="F26" s="115"/>
      <c r="G26" s="24">
        <f>(G24+G25)*'Fane 12. Nøgletal'!C29</f>
        <v>255883.86012352759</v>
      </c>
      <c r="H26" s="14" t="s">
        <v>3</v>
      </c>
      <c r="I26" s="1"/>
    </row>
    <row r="27" spans="1:9" x14ac:dyDescent="0.25">
      <c r="A27" s="1"/>
      <c r="B27" s="54"/>
      <c r="C27" s="55"/>
      <c r="D27" s="55"/>
      <c r="E27" s="55"/>
      <c r="F27" s="55"/>
      <c r="G27" s="55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6" t="s">
        <v>175</v>
      </c>
      <c r="C29" s="117"/>
      <c r="D29" s="117"/>
      <c r="E29" s="117"/>
      <c r="F29" s="117"/>
      <c r="G29" s="117"/>
      <c r="H29" s="118"/>
      <c r="I29" s="1"/>
    </row>
    <row r="30" spans="1:9" x14ac:dyDescent="0.25">
      <c r="A30" s="1"/>
      <c r="B30" s="113" t="s">
        <v>60</v>
      </c>
      <c r="C30" s="114"/>
      <c r="D30" s="114"/>
      <c r="E30" s="114"/>
      <c r="F30" s="115"/>
      <c r="G30" s="24">
        <f>(G24+G25-G26)*(1+'Fane 12. Nøgletal'!C13)</f>
        <v>12691276.517634695</v>
      </c>
      <c r="H30" s="14" t="s">
        <v>3</v>
      </c>
      <c r="I30" s="1"/>
    </row>
    <row r="31" spans="1:9" x14ac:dyDescent="0.25">
      <c r="A31" s="1"/>
      <c r="B31" s="113" t="s">
        <v>147</v>
      </c>
      <c r="C31" s="114"/>
      <c r="D31" s="114"/>
      <c r="E31" s="114"/>
      <c r="F31" s="115"/>
      <c r="G31" s="24">
        <f>SUM('Fane 3. Omkostninger i ØR2021'!E10,'Fane 3. Omkostninger i ØR2021'!E12,'Fane 3. Omkostninger i ØR2021'!E14)*(1+'Fane 12. Nøgletal'!C13)</f>
        <v>138165.5338182</v>
      </c>
      <c r="H31" s="14" t="s">
        <v>3</v>
      </c>
      <c r="I31" s="1"/>
    </row>
    <row r="32" spans="1:9" x14ac:dyDescent="0.25">
      <c r="A32" s="1"/>
      <c r="B32" s="113" t="s">
        <v>159</v>
      </c>
      <c r="C32" s="114"/>
      <c r="D32" s="114"/>
      <c r="E32" s="114"/>
      <c r="F32" s="115"/>
      <c r="G32" s="24">
        <f>(G30+G31)*'Fane 12. Nøgletal'!C29</f>
        <v>256588.84102905792</v>
      </c>
      <c r="H32" s="14" t="s">
        <v>3</v>
      </c>
      <c r="I32" s="1"/>
    </row>
    <row r="33" spans="1:9" x14ac:dyDescent="0.25">
      <c r="A33" s="1"/>
      <c r="B33" s="54"/>
      <c r="C33" s="55"/>
      <c r="D33" s="55"/>
      <c r="E33" s="55"/>
      <c r="F33" s="55"/>
      <c r="G33" s="55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16" t="s">
        <v>176</v>
      </c>
      <c r="C35" s="117"/>
      <c r="D35" s="117"/>
      <c r="E35" s="117"/>
      <c r="F35" s="117"/>
      <c r="G35" s="117"/>
      <c r="H35" s="118"/>
      <c r="I35" s="1"/>
    </row>
    <row r="36" spans="1:9" x14ac:dyDescent="0.25">
      <c r="A36" s="1"/>
      <c r="B36" s="113" t="s">
        <v>80</v>
      </c>
      <c r="C36" s="114"/>
      <c r="D36" s="114"/>
      <c r="E36" s="114"/>
      <c r="F36" s="115"/>
      <c r="G36" s="24">
        <f>(G30+G31-G32)*(1+'Fane 12. Nøgletal'!C13)</f>
        <v>12726242.019591009</v>
      </c>
      <c r="H36" s="14" t="s">
        <v>3</v>
      </c>
      <c r="I36" s="1"/>
    </row>
    <row r="37" spans="1:9" x14ac:dyDescent="0.25">
      <c r="A37" s="1"/>
      <c r="B37" s="37" t="s">
        <v>193</v>
      </c>
      <c r="C37" s="61"/>
      <c r="D37" s="61"/>
      <c r="E37" s="61"/>
      <c r="F37" s="62"/>
      <c r="G37" s="24">
        <f>SUM('Fane 2.1. Økonomisk ramme 2022'!C10)*(1+'Fane 12. Nøgletal'!C14)</f>
        <v>135777.30944511126</v>
      </c>
      <c r="H37" s="14" t="s">
        <v>3</v>
      </c>
      <c r="I37" s="1"/>
    </row>
    <row r="38" spans="1:9" x14ac:dyDescent="0.25">
      <c r="A38" s="1"/>
      <c r="B38" s="113" t="s">
        <v>222</v>
      </c>
      <c r="C38" s="114"/>
      <c r="D38" s="114"/>
      <c r="E38" s="114"/>
      <c r="F38" s="115"/>
      <c r="G38" s="24">
        <f>SUM('Fane 2.1. Økonomisk ramme 2022'!C12,'Fane 2.1. Økonomisk ramme 2022'!C14,'Fane 2.1. Økonomisk ramme 2022'!C16)*(1+'Fane 12. Nøgletal'!C14)</f>
        <v>282655.33130111004</v>
      </c>
      <c r="H38" s="14" t="s">
        <v>3</v>
      </c>
      <c r="I38" s="1"/>
    </row>
    <row r="39" spans="1:9" x14ac:dyDescent="0.25">
      <c r="A39" s="1"/>
      <c r="B39" s="113" t="s">
        <v>177</v>
      </c>
      <c r="C39" s="114"/>
      <c r="D39" s="114"/>
      <c r="E39" s="114"/>
      <c r="F39" s="115"/>
      <c r="G39" s="24">
        <f>(G36+G38)*'Fane 12. Nøgletal'!C29</f>
        <v>260177.94701784238</v>
      </c>
      <c r="H39" s="14" t="s">
        <v>3</v>
      </c>
      <c r="I39" s="1"/>
    </row>
    <row r="40" spans="1:9" x14ac:dyDescent="0.25">
      <c r="A40" s="1"/>
      <c r="B40" s="54"/>
      <c r="C40" s="55"/>
      <c r="D40" s="55"/>
      <c r="E40" s="55"/>
      <c r="F40" s="55"/>
      <c r="G40" s="55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16" t="s">
        <v>81</v>
      </c>
      <c r="C42" s="117"/>
      <c r="D42" s="117"/>
      <c r="E42" s="117"/>
      <c r="F42" s="117"/>
      <c r="G42" s="117"/>
      <c r="H42" s="118"/>
      <c r="I42" s="1"/>
    </row>
    <row r="43" spans="1:9" x14ac:dyDescent="0.25">
      <c r="A43" s="1"/>
      <c r="B43" s="113" t="s">
        <v>79</v>
      </c>
      <c r="C43" s="114"/>
      <c r="D43" s="114"/>
      <c r="E43" s="114"/>
      <c r="F43" s="115"/>
      <c r="G43" s="24">
        <f>(G36+G38-G39)*(1+'Fane 12. Nøgletal'!C14)</f>
        <v>12790790.177907063</v>
      </c>
      <c r="H43" s="14" t="s">
        <v>3</v>
      </c>
      <c r="I43" s="1"/>
    </row>
    <row r="44" spans="1:9" x14ac:dyDescent="0.25">
      <c r="A44" s="1"/>
      <c r="B44" s="113" t="s">
        <v>92</v>
      </c>
      <c r="C44" s="114"/>
      <c r="D44" s="114"/>
      <c r="E44" s="114"/>
      <c r="F44" s="115"/>
      <c r="G44" s="24">
        <f>-'Fane 11. Bortfald'!C19*(1+'Fane 12. Nøgletal'!C14)</f>
        <v>0</v>
      </c>
      <c r="H44" s="14" t="s">
        <v>3</v>
      </c>
      <c r="I44" s="1"/>
    </row>
    <row r="45" spans="1:9" x14ac:dyDescent="0.25">
      <c r="A45" s="1"/>
      <c r="B45" s="113" t="s">
        <v>61</v>
      </c>
      <c r="C45" s="114"/>
      <c r="D45" s="114"/>
      <c r="E45" s="114"/>
      <c r="F45" s="115"/>
      <c r="G45" s="24">
        <f>(G43+G44)*'Fane 12. Nøgletal'!C29</f>
        <v>255815.80355814126</v>
      </c>
      <c r="H45" s="14" t="s">
        <v>3</v>
      </c>
      <c r="I45" s="1"/>
    </row>
    <row r="46" spans="1:9" x14ac:dyDescent="0.25">
      <c r="A46" s="1"/>
      <c r="B46" s="54"/>
      <c r="C46" s="55"/>
      <c r="D46" s="55"/>
      <c r="E46" s="55"/>
      <c r="F46" s="55"/>
      <c r="G46" s="55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16" t="s">
        <v>148</v>
      </c>
      <c r="C48" s="117"/>
      <c r="D48" s="117"/>
      <c r="E48" s="117"/>
      <c r="F48" s="117"/>
      <c r="G48" s="117"/>
      <c r="H48" s="118"/>
      <c r="I48" s="1"/>
    </row>
    <row r="49" spans="1:9" x14ac:dyDescent="0.25">
      <c r="A49" s="1"/>
      <c r="B49" s="113" t="s">
        <v>149</v>
      </c>
      <c r="C49" s="114"/>
      <c r="D49" s="114"/>
      <c r="E49" s="114"/>
      <c r="F49" s="115"/>
      <c r="G49" s="24">
        <f>(G43+G44-G45)*(1+'Fane 12. Nøgletal'!C14)</f>
        <v>12576339.789784275</v>
      </c>
      <c r="H49" s="14" t="s">
        <v>3</v>
      </c>
      <c r="I49" s="1"/>
    </row>
    <row r="50" spans="1:9" x14ac:dyDescent="0.25">
      <c r="A50" s="1"/>
      <c r="B50" s="113" t="s">
        <v>150</v>
      </c>
      <c r="C50" s="114"/>
      <c r="D50" s="114"/>
      <c r="E50" s="114"/>
      <c r="F50" s="115"/>
      <c r="G50" s="24">
        <f>-'Fane 11. Bortfald'!C26*(1+'Fane 12. Nøgletal'!C14)</f>
        <v>0</v>
      </c>
      <c r="H50" s="14" t="s">
        <v>3</v>
      </c>
      <c r="I50" s="1"/>
    </row>
    <row r="51" spans="1:9" x14ac:dyDescent="0.25">
      <c r="A51" s="1"/>
      <c r="B51" s="113" t="s">
        <v>151</v>
      </c>
      <c r="C51" s="114"/>
      <c r="D51" s="114"/>
      <c r="E51" s="114"/>
      <c r="F51" s="115"/>
      <c r="G51" s="24">
        <f>(G49+G50)*'Fane 12. Nøgletal'!C29</f>
        <v>251526.7957956855</v>
      </c>
      <c r="H51" s="14" t="s">
        <v>3</v>
      </c>
      <c r="I51" s="1"/>
    </row>
    <row r="52" spans="1:9" x14ac:dyDescent="0.25">
      <c r="A52" s="1"/>
      <c r="B52" s="54"/>
      <c r="C52" s="55"/>
      <c r="D52" s="55"/>
      <c r="E52" s="55"/>
      <c r="F52" s="55"/>
      <c r="G52" s="55"/>
      <c r="H52" s="20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16" t="s">
        <v>199</v>
      </c>
      <c r="C54" s="117"/>
      <c r="D54" s="117"/>
      <c r="E54" s="117"/>
      <c r="F54" s="117"/>
      <c r="G54" s="117"/>
      <c r="H54" s="118"/>
      <c r="I54" s="1"/>
    </row>
    <row r="55" spans="1:9" x14ac:dyDescent="0.25">
      <c r="A55" s="1"/>
      <c r="B55" s="113" t="s">
        <v>200</v>
      </c>
      <c r="C55" s="114"/>
      <c r="D55" s="114"/>
      <c r="E55" s="114"/>
      <c r="F55" s="115"/>
      <c r="G55" s="24">
        <f>(G49+G50-G51)*(1+'Fane 12. Nøgletal'!C14)</f>
        <v>12365484.876868753</v>
      </c>
      <c r="H55" s="14" t="s">
        <v>3</v>
      </c>
      <c r="I55" s="1"/>
    </row>
    <row r="56" spans="1:9" x14ac:dyDescent="0.25">
      <c r="A56" s="1"/>
      <c r="B56" s="113" t="s">
        <v>201</v>
      </c>
      <c r="C56" s="114"/>
      <c r="D56" s="114"/>
      <c r="E56" s="114"/>
      <c r="F56" s="115"/>
      <c r="G56" s="24">
        <f>-'Fane 11. Bortfald'!C33*(1+'Fane 12. Nøgletal'!C14)</f>
        <v>0</v>
      </c>
      <c r="H56" s="14" t="s">
        <v>3</v>
      </c>
      <c r="I56" s="1"/>
    </row>
    <row r="57" spans="1:9" x14ac:dyDescent="0.25">
      <c r="A57" s="1"/>
      <c r="B57" s="113" t="s">
        <v>202</v>
      </c>
      <c r="C57" s="114"/>
      <c r="D57" s="114"/>
      <c r="E57" s="114"/>
      <c r="F57" s="115"/>
      <c r="G57" s="24">
        <f>(G55+G56)*'Fane 12. Nøgletal'!C29</f>
        <v>247309.69753737506</v>
      </c>
      <c r="H57" s="14" t="s">
        <v>3</v>
      </c>
      <c r="I57" s="1"/>
    </row>
    <row r="58" spans="1:9" x14ac:dyDescent="0.25">
      <c r="A58" s="1"/>
      <c r="B58" s="54"/>
      <c r="C58" s="55"/>
      <c r="D58" s="55"/>
      <c r="E58" s="55"/>
      <c r="F58" s="55"/>
      <c r="G58" s="55"/>
      <c r="H58" s="20"/>
      <c r="I58" s="1"/>
    </row>
  </sheetData>
  <sheetProtection algorithmName="SHA-512" hashValue="UbLXhHIPOauBeYtytUeXvDdq59l/YKy1cNevxRrWHaGf8afY2H0n/61QD5P4AfJP3o/U3QNlSTr4w5Bd2cPUfw==" saltValue="4MQrMdtbaWY7ZLKMS+LG+A==" spinCount="100000" sheet="1" objects="1" scenarios="1"/>
  <mergeCells count="37">
    <mergeCell ref="B54:H54"/>
    <mergeCell ref="B55:F55"/>
    <mergeCell ref="B56:F56"/>
    <mergeCell ref="B57:F57"/>
    <mergeCell ref="B29:H29"/>
    <mergeCell ref="B30:F30"/>
    <mergeCell ref="B35:H35"/>
    <mergeCell ref="B39:F39"/>
    <mergeCell ref="B48:H48"/>
    <mergeCell ref="B49:F49"/>
    <mergeCell ref="B50:F50"/>
    <mergeCell ref="B51:F51"/>
    <mergeCell ref="B42:H42"/>
    <mergeCell ref="B43:F43"/>
    <mergeCell ref="B45:F45"/>
    <mergeCell ref="B38:F38"/>
    <mergeCell ref="B26:F26"/>
    <mergeCell ref="B36:F36"/>
    <mergeCell ref="B31:F31"/>
    <mergeCell ref="B32:F32"/>
    <mergeCell ref="B23:H23"/>
    <mergeCell ref="B44:F44"/>
    <mergeCell ref="B16:H16"/>
    <mergeCell ref="B1:H3"/>
    <mergeCell ref="B4:H4"/>
    <mergeCell ref="B5:F5"/>
    <mergeCell ref="B6:F6"/>
    <mergeCell ref="B10:F10"/>
    <mergeCell ref="B9:H9"/>
    <mergeCell ref="B12:F12"/>
    <mergeCell ref="B13:F13"/>
    <mergeCell ref="B17:F17"/>
    <mergeCell ref="B19:F19"/>
    <mergeCell ref="B18:F18"/>
    <mergeCell ref="B20:F20"/>
    <mergeCell ref="B24:F24"/>
    <mergeCell ref="B25:F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8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2" t="s">
        <v>116</v>
      </c>
      <c r="C1" s="123"/>
      <c r="D1" s="123"/>
      <c r="E1" s="123"/>
      <c r="F1" s="123"/>
      <c r="G1" s="123"/>
      <c r="H1" s="123"/>
      <c r="I1" s="1"/>
    </row>
    <row r="2" spans="1:9" ht="19.899999999999999" customHeight="1" x14ac:dyDescent="0.25">
      <c r="A2" s="1"/>
      <c r="B2" s="123"/>
      <c r="C2" s="123"/>
      <c r="D2" s="123"/>
      <c r="E2" s="123"/>
      <c r="F2" s="123"/>
      <c r="G2" s="123"/>
      <c r="H2" s="123"/>
      <c r="I2" s="1"/>
    </row>
    <row r="3" spans="1:9" ht="15" customHeight="1" x14ac:dyDescent="0.25">
      <c r="A3" s="1"/>
      <c r="B3" s="124"/>
      <c r="C3" s="124"/>
      <c r="D3" s="124"/>
      <c r="E3" s="124"/>
      <c r="F3" s="124"/>
      <c r="G3" s="124"/>
      <c r="H3" s="124"/>
      <c r="I3" s="1"/>
    </row>
    <row r="4" spans="1:9" x14ac:dyDescent="0.25">
      <c r="A4" s="1"/>
      <c r="B4" s="116" t="s">
        <v>58</v>
      </c>
      <c r="C4" s="117"/>
      <c r="D4" s="117"/>
      <c r="E4" s="117"/>
      <c r="F4" s="117"/>
      <c r="G4" s="117"/>
      <c r="H4" s="118"/>
      <c r="I4" s="1"/>
    </row>
    <row r="5" spans="1:9" x14ac:dyDescent="0.25">
      <c r="A5" s="1"/>
      <c r="B5" s="113" t="s">
        <v>62</v>
      </c>
      <c r="C5" s="114"/>
      <c r="D5" s="114"/>
      <c r="E5" s="114"/>
      <c r="F5" s="115"/>
      <c r="G5" s="24">
        <v>10808244</v>
      </c>
      <c r="H5" s="14" t="s">
        <v>3</v>
      </c>
      <c r="I5" s="1"/>
    </row>
    <row r="6" spans="1:9" x14ac:dyDescent="0.25">
      <c r="A6" s="1"/>
      <c r="B6" s="113" t="s">
        <v>59</v>
      </c>
      <c r="C6" s="114"/>
      <c r="D6" s="114"/>
      <c r="E6" s="114"/>
      <c r="F6" s="115"/>
      <c r="G6" s="24">
        <f>G5*'Fane 12. Nøgletal'!C19</f>
        <v>98355.020400000009</v>
      </c>
      <c r="H6" s="14" t="s">
        <v>3</v>
      </c>
      <c r="I6" s="1"/>
    </row>
    <row r="7" spans="1:9" x14ac:dyDescent="0.25">
      <c r="A7" s="1"/>
      <c r="B7" s="54"/>
      <c r="C7" s="55"/>
      <c r="D7" s="55"/>
      <c r="E7" s="55"/>
      <c r="F7" s="55"/>
      <c r="G7" s="55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6" t="s">
        <v>63</v>
      </c>
      <c r="C9" s="117"/>
      <c r="D9" s="117"/>
      <c r="E9" s="117"/>
      <c r="F9" s="117"/>
      <c r="G9" s="117"/>
      <c r="H9" s="118"/>
      <c r="I9" s="1"/>
    </row>
    <row r="10" spans="1:9" x14ac:dyDescent="0.25">
      <c r="A10" s="1"/>
      <c r="B10" s="113" t="s">
        <v>64</v>
      </c>
      <c r="C10" s="114"/>
      <c r="D10" s="114"/>
      <c r="E10" s="114"/>
      <c r="F10" s="115"/>
      <c r="G10" s="24">
        <f>(G5+G11-G6)*(1+'Fane 12. Nøgletal'!C9)</f>
        <v>11025077.529840918</v>
      </c>
      <c r="H10" s="14" t="s">
        <v>3</v>
      </c>
      <c r="I10" s="1"/>
    </row>
    <row r="11" spans="1:9" x14ac:dyDescent="0.25">
      <c r="A11" s="1"/>
      <c r="B11" s="71" t="s">
        <v>251</v>
      </c>
      <c r="C11" s="61"/>
      <c r="D11" s="61"/>
      <c r="E11" s="61"/>
      <c r="F11" s="62"/>
      <c r="G11" s="24">
        <v>176926</v>
      </c>
      <c r="H11" s="14" t="s">
        <v>3</v>
      </c>
      <c r="I11" s="1"/>
    </row>
    <row r="12" spans="1:9" x14ac:dyDescent="0.25">
      <c r="A12" s="1"/>
      <c r="B12" s="119" t="s">
        <v>65</v>
      </c>
      <c r="C12" s="120"/>
      <c r="D12" s="120"/>
      <c r="E12" s="120"/>
      <c r="F12" s="121"/>
      <c r="G12" s="24">
        <v>0</v>
      </c>
      <c r="H12" s="14" t="s">
        <v>3</v>
      </c>
      <c r="I12" s="1"/>
    </row>
    <row r="13" spans="1:9" x14ac:dyDescent="0.25">
      <c r="A13" s="1"/>
      <c r="B13" s="113" t="s">
        <v>66</v>
      </c>
      <c r="C13" s="114"/>
      <c r="D13" s="114"/>
      <c r="E13" s="114"/>
      <c r="F13" s="115"/>
      <c r="G13" s="24">
        <f>G10*'Fane 12. Nøgletal'!C19+G12*'Fane 12. Nøgletal'!C20</f>
        <v>100328.20552155236</v>
      </c>
      <c r="H13" s="14" t="s">
        <v>3</v>
      </c>
      <c r="I13" s="1"/>
    </row>
    <row r="14" spans="1:9" x14ac:dyDescent="0.25">
      <c r="A14" s="1"/>
      <c r="B14" s="54"/>
      <c r="C14" s="55"/>
      <c r="D14" s="55"/>
      <c r="E14" s="55"/>
      <c r="F14" s="55"/>
      <c r="G14" s="55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16" t="s">
        <v>67</v>
      </c>
      <c r="C16" s="117"/>
      <c r="D16" s="117"/>
      <c r="E16" s="117"/>
      <c r="F16" s="117"/>
      <c r="G16" s="117"/>
      <c r="H16" s="118"/>
      <c r="I16" s="1"/>
    </row>
    <row r="17" spans="1:9" x14ac:dyDescent="0.25">
      <c r="A17" s="1"/>
      <c r="B17" s="113" t="s">
        <v>68</v>
      </c>
      <c r="C17" s="114"/>
      <c r="D17" s="114"/>
      <c r="E17" s="114"/>
      <c r="F17" s="115"/>
      <c r="G17" s="24">
        <f>(G10+G12-G13)*(1+'Fane 12. Nøgletal'!C11)</f>
        <v>11109377.587900363</v>
      </c>
      <c r="H17" s="14" t="s">
        <v>3</v>
      </c>
      <c r="I17" s="1"/>
    </row>
    <row r="18" spans="1:9" x14ac:dyDescent="0.25">
      <c r="A18" s="1"/>
      <c r="B18" s="113" t="s">
        <v>126</v>
      </c>
      <c r="C18" s="114"/>
      <c r="D18" s="114"/>
      <c r="E18" s="114"/>
      <c r="F18" s="115"/>
      <c r="G18" s="24">
        <v>-20489.372276539998</v>
      </c>
      <c r="H18" s="14" t="s">
        <v>3</v>
      </c>
      <c r="I18" s="1"/>
    </row>
    <row r="19" spans="1:9" x14ac:dyDescent="0.25">
      <c r="A19" s="1"/>
      <c r="B19" s="119" t="s">
        <v>69</v>
      </c>
      <c r="C19" s="120"/>
      <c r="D19" s="120"/>
      <c r="E19" s="120"/>
      <c r="F19" s="121"/>
      <c r="G19" s="24">
        <v>0</v>
      </c>
      <c r="H19" s="14" t="s">
        <v>3</v>
      </c>
      <c r="I19" s="1"/>
    </row>
    <row r="20" spans="1:9" x14ac:dyDescent="0.25">
      <c r="A20" s="1"/>
      <c r="B20" s="113" t="s">
        <v>70</v>
      </c>
      <c r="C20" s="114"/>
      <c r="D20" s="114"/>
      <c r="E20" s="114"/>
      <c r="F20" s="115"/>
      <c r="G20" s="24">
        <f>(G17+G18+G19)*'Fane 12. Nøgletal'!C21</f>
        <v>96473.327475927246</v>
      </c>
      <c r="H20" s="14" t="s">
        <v>3</v>
      </c>
      <c r="I20" s="1"/>
    </row>
    <row r="21" spans="1:9" x14ac:dyDescent="0.25">
      <c r="A21" s="1"/>
      <c r="B21" s="54"/>
      <c r="C21" s="55"/>
      <c r="D21" s="55"/>
      <c r="E21" s="55"/>
      <c r="F21" s="55"/>
      <c r="G21" s="55"/>
      <c r="H21" s="20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16" t="s">
        <v>71</v>
      </c>
      <c r="C23" s="117"/>
      <c r="D23" s="117"/>
      <c r="E23" s="117"/>
      <c r="F23" s="117"/>
      <c r="G23" s="117"/>
      <c r="H23" s="118"/>
      <c r="I23" s="1"/>
    </row>
    <row r="24" spans="1:9" x14ac:dyDescent="0.25">
      <c r="A24" s="1"/>
      <c r="B24" s="113" t="s">
        <v>72</v>
      </c>
      <c r="C24" s="114"/>
      <c r="D24" s="114"/>
      <c r="E24" s="114"/>
      <c r="F24" s="115"/>
      <c r="G24" s="24">
        <f>(SUM(G17:G19)-G20)*(1+'Fane 12. Nøgletal'!C11)</f>
        <v>11178186.699757593</v>
      </c>
      <c r="H24" s="14" t="s">
        <v>3</v>
      </c>
      <c r="I24" s="1"/>
    </row>
    <row r="25" spans="1:9" x14ac:dyDescent="0.25">
      <c r="A25" s="1"/>
      <c r="B25" s="119" t="s">
        <v>73</v>
      </c>
      <c r="C25" s="120"/>
      <c r="D25" s="120"/>
      <c r="E25" s="120"/>
      <c r="F25" s="121"/>
      <c r="G25" s="24">
        <v>28320.708207330004</v>
      </c>
      <c r="H25" s="14" t="s">
        <v>3</v>
      </c>
      <c r="I25" s="1"/>
    </row>
    <row r="26" spans="1:9" x14ac:dyDescent="0.25">
      <c r="A26" s="1"/>
      <c r="B26" s="113" t="s">
        <v>74</v>
      </c>
      <c r="C26" s="114"/>
      <c r="D26" s="114"/>
      <c r="E26" s="114"/>
      <c r="F26" s="115"/>
      <c r="G26" s="24">
        <f>G24*'Fane 12. Nøgletal'!C21+G25*'Fane 12. Nøgletal'!C22</f>
        <v>98054.532400979224</v>
      </c>
      <c r="H26" s="14" t="s">
        <v>3</v>
      </c>
      <c r="I26" s="1"/>
    </row>
    <row r="27" spans="1:9" x14ac:dyDescent="0.25">
      <c r="A27" s="1"/>
      <c r="B27" s="54"/>
      <c r="C27" s="55"/>
      <c r="D27" s="55"/>
      <c r="E27" s="55"/>
      <c r="F27" s="55"/>
      <c r="G27" s="55"/>
      <c r="H27" s="20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16" t="s">
        <v>173</v>
      </c>
      <c r="C29" s="117"/>
      <c r="D29" s="117"/>
      <c r="E29" s="117"/>
      <c r="F29" s="117"/>
      <c r="G29" s="117"/>
      <c r="H29" s="118"/>
      <c r="I29" s="1"/>
    </row>
    <row r="30" spans="1:9" x14ac:dyDescent="0.25">
      <c r="A30" s="1"/>
      <c r="B30" s="113" t="s">
        <v>75</v>
      </c>
      <c r="C30" s="114"/>
      <c r="D30" s="114"/>
      <c r="E30" s="114"/>
      <c r="F30" s="115"/>
      <c r="G30" s="24">
        <f>(G24+G25-G26)*(1+'Fane 12. Nøgletal'!C13)</f>
        <v>11243976.000645824</v>
      </c>
      <c r="H30" s="14" t="s">
        <v>3</v>
      </c>
      <c r="I30" s="1"/>
    </row>
    <row r="31" spans="1:9" x14ac:dyDescent="0.25">
      <c r="A31" s="1"/>
      <c r="B31" s="113" t="s">
        <v>152</v>
      </c>
      <c r="C31" s="114"/>
      <c r="D31" s="114"/>
      <c r="E31" s="114"/>
      <c r="F31" s="115"/>
      <c r="G31" s="24">
        <v>1548364.8026826</v>
      </c>
      <c r="H31" s="14" t="s">
        <v>3</v>
      </c>
      <c r="I31" s="1"/>
    </row>
    <row r="32" spans="1:9" x14ac:dyDescent="0.25">
      <c r="A32" s="1"/>
      <c r="B32" s="113" t="s">
        <v>174</v>
      </c>
      <c r="C32" s="114"/>
      <c r="D32" s="114"/>
      <c r="E32" s="114"/>
      <c r="F32" s="115"/>
      <c r="G32" s="24">
        <f>(G30+G31)*'Fane 12. Nøgletal'!C23</f>
        <v>351789.3720915317</v>
      </c>
      <c r="H32" s="14" t="s">
        <v>3</v>
      </c>
      <c r="I32" s="1"/>
    </row>
    <row r="33" spans="1:9" x14ac:dyDescent="0.25">
      <c r="A33" s="1"/>
      <c r="B33" s="54"/>
      <c r="C33" s="55"/>
      <c r="D33" s="55"/>
      <c r="E33" s="55"/>
      <c r="F33" s="55"/>
      <c r="G33" s="55"/>
      <c r="H33" s="20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16" t="s">
        <v>178</v>
      </c>
      <c r="C35" s="117"/>
      <c r="D35" s="117"/>
      <c r="E35" s="117"/>
      <c r="F35" s="117"/>
      <c r="G35" s="117"/>
      <c r="H35" s="118"/>
      <c r="I35" s="1"/>
    </row>
    <row r="36" spans="1:9" x14ac:dyDescent="0.25">
      <c r="A36" s="1"/>
      <c r="B36" s="113" t="s">
        <v>78</v>
      </c>
      <c r="C36" s="114"/>
      <c r="D36" s="114"/>
      <c r="E36" s="114"/>
      <c r="F36" s="115"/>
      <c r="G36" s="24">
        <f>(G30+G31-G32)*(1+'Fane 12. Nøgletal'!C13)</f>
        <v>12592326.158697983</v>
      </c>
      <c r="H36" s="14" t="s">
        <v>3</v>
      </c>
      <c r="I36" s="1"/>
    </row>
    <row r="37" spans="1:9" s="41" customFormat="1" x14ac:dyDescent="0.25">
      <c r="A37" s="38"/>
      <c r="B37" s="37" t="s">
        <v>223</v>
      </c>
      <c r="C37" s="39"/>
      <c r="D37" s="39"/>
      <c r="E37" s="39"/>
      <c r="F37" s="40"/>
      <c r="G37" s="42">
        <f>SUM('Fane 2.1. Økonomisk ramme 2022'!C11)*(1+'Fane 12. Nøgletal'!C14)</f>
        <v>1509949.8878452417</v>
      </c>
      <c r="H37" s="14" t="s">
        <v>3</v>
      </c>
      <c r="I37" s="38"/>
    </row>
    <row r="38" spans="1:9" x14ac:dyDescent="0.25">
      <c r="A38" s="1"/>
      <c r="B38" s="113" t="s">
        <v>194</v>
      </c>
      <c r="C38" s="114"/>
      <c r="D38" s="114"/>
      <c r="E38" s="114"/>
      <c r="F38" s="115"/>
      <c r="G38" s="24">
        <f>SUM('Fane 2.1. Økonomisk ramme 2022'!C13,'Fane 2.1. Økonomisk ramme 2022'!C15,'Fane 2.1. Økonomisk ramme 2022'!C17)*(1+'Fane 12. Nøgletal'!C14)</f>
        <v>33443.640209360005</v>
      </c>
      <c r="H38" s="14" t="s">
        <v>3</v>
      </c>
      <c r="I38" s="1"/>
    </row>
    <row r="39" spans="1:9" x14ac:dyDescent="0.25">
      <c r="A39" s="1"/>
      <c r="B39" s="113" t="s">
        <v>179</v>
      </c>
      <c r="C39" s="114"/>
      <c r="D39" s="114"/>
      <c r="E39" s="114"/>
      <c r="F39" s="115"/>
      <c r="G39" s="24">
        <f>G36*'Fane 12. Nøgletal'!C23+G38*'Fane 12. Nøgletal'!C24</f>
        <v>346783.93523929309</v>
      </c>
      <c r="H39" s="14" t="s">
        <v>3</v>
      </c>
      <c r="I39" s="1"/>
    </row>
    <row r="40" spans="1:9" x14ac:dyDescent="0.25">
      <c r="A40" s="1"/>
      <c r="B40" s="54"/>
      <c r="C40" s="55"/>
      <c r="D40" s="55"/>
      <c r="E40" s="55"/>
      <c r="F40" s="55"/>
      <c r="G40" s="55"/>
      <c r="H40" s="20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16" t="s">
        <v>82</v>
      </c>
      <c r="C42" s="117"/>
      <c r="D42" s="117"/>
      <c r="E42" s="117"/>
      <c r="F42" s="117"/>
      <c r="G42" s="117"/>
      <c r="H42" s="118"/>
      <c r="I42" s="1"/>
    </row>
    <row r="43" spans="1:9" x14ac:dyDescent="0.25">
      <c r="A43" s="1"/>
      <c r="B43" s="113" t="s">
        <v>77</v>
      </c>
      <c r="C43" s="114"/>
      <c r="D43" s="114"/>
      <c r="E43" s="114"/>
      <c r="F43" s="115"/>
      <c r="G43" s="24">
        <f>(G36+G38-G39)*(1+'Fane 12. Nøgletal'!C14)</f>
        <v>12319506.517018156</v>
      </c>
      <c r="H43" s="14" t="s">
        <v>3</v>
      </c>
      <c r="I43" s="1"/>
    </row>
    <row r="44" spans="1:9" x14ac:dyDescent="0.25">
      <c r="A44" s="1"/>
      <c r="B44" s="113" t="s">
        <v>96</v>
      </c>
      <c r="C44" s="114"/>
      <c r="D44" s="114"/>
      <c r="E44" s="114"/>
      <c r="F44" s="115"/>
      <c r="G44" s="24">
        <f>-'Fane 11. Bortfald'!E19*(1+'Fane 12. Nøgletal'!C14)</f>
        <v>0</v>
      </c>
      <c r="H44" s="14" t="s">
        <v>3</v>
      </c>
      <c r="I44" s="1"/>
    </row>
    <row r="45" spans="1:9" x14ac:dyDescent="0.25">
      <c r="A45" s="1"/>
      <c r="B45" s="113" t="s">
        <v>76</v>
      </c>
      <c r="C45" s="114"/>
      <c r="D45" s="114"/>
      <c r="E45" s="114"/>
      <c r="F45" s="115"/>
      <c r="G45" s="24">
        <f>(G43+G44)*'Fane 12. Nøgletal'!C24</f>
        <v>182328.69645186872</v>
      </c>
      <c r="H45" s="14" t="s">
        <v>3</v>
      </c>
      <c r="I45" s="1"/>
    </row>
    <row r="46" spans="1:9" x14ac:dyDescent="0.25">
      <c r="A46" s="1"/>
      <c r="B46" s="54"/>
      <c r="C46" s="55"/>
      <c r="D46" s="55"/>
      <c r="E46" s="55"/>
      <c r="F46" s="55"/>
      <c r="G46" s="55"/>
      <c r="H46" s="20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16" t="s">
        <v>153</v>
      </c>
      <c r="C48" s="117"/>
      <c r="D48" s="117"/>
      <c r="E48" s="117"/>
      <c r="F48" s="117"/>
      <c r="G48" s="117"/>
      <c r="H48" s="118"/>
      <c r="I48" s="1"/>
    </row>
    <row r="49" spans="1:9" x14ac:dyDescent="0.25">
      <c r="A49" s="1"/>
      <c r="B49" s="113" t="s">
        <v>154</v>
      </c>
      <c r="C49" s="114"/>
      <c r="D49" s="114"/>
      <c r="E49" s="114"/>
      <c r="F49" s="115"/>
      <c r="G49" s="24">
        <f>(G43+G44-G45)*(1+'Fane 12. Nøgletal'!C14)</f>
        <v>12177230.507374156</v>
      </c>
      <c r="H49" s="14" t="s">
        <v>3</v>
      </c>
      <c r="I49" s="1"/>
    </row>
    <row r="50" spans="1:9" x14ac:dyDescent="0.25">
      <c r="A50" s="1"/>
      <c r="B50" s="113" t="s">
        <v>155</v>
      </c>
      <c r="C50" s="114"/>
      <c r="D50" s="114"/>
      <c r="E50" s="114"/>
      <c r="F50" s="115"/>
      <c r="G50" s="24">
        <f>-'Fane 11. Bortfald'!E26*(1+'Fane 12. Nøgletal'!C13)</f>
        <v>0</v>
      </c>
      <c r="H50" s="14" t="s">
        <v>3</v>
      </c>
      <c r="I50" s="1"/>
    </row>
    <row r="51" spans="1:9" x14ac:dyDescent="0.25">
      <c r="A51" s="1"/>
      <c r="B51" s="113" t="s">
        <v>156</v>
      </c>
      <c r="C51" s="114"/>
      <c r="D51" s="114"/>
      <c r="E51" s="114"/>
      <c r="F51" s="115"/>
      <c r="G51" s="24">
        <f>(G49+G50)*'Fane 12. Nøgletal'!C24</f>
        <v>180223.01150913752</v>
      </c>
      <c r="H51" s="14" t="s">
        <v>3</v>
      </c>
      <c r="I51" s="1"/>
    </row>
    <row r="52" spans="1:9" x14ac:dyDescent="0.25">
      <c r="A52" s="1"/>
      <c r="B52" s="54"/>
      <c r="C52" s="55"/>
      <c r="D52" s="55"/>
      <c r="E52" s="55"/>
      <c r="F52" s="55"/>
      <c r="G52" s="55"/>
      <c r="H52" s="20"/>
      <c r="I52" s="1"/>
    </row>
    <row r="53" spans="1:9" x14ac:dyDescent="0.2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25">
      <c r="A54" s="1"/>
      <c r="B54" s="116" t="s">
        <v>195</v>
      </c>
      <c r="C54" s="117"/>
      <c r="D54" s="117"/>
      <c r="E54" s="117"/>
      <c r="F54" s="117"/>
      <c r="G54" s="117"/>
      <c r="H54" s="118"/>
      <c r="I54" s="1"/>
    </row>
    <row r="55" spans="1:9" x14ac:dyDescent="0.25">
      <c r="A55" s="1"/>
      <c r="B55" s="113" t="s">
        <v>196</v>
      </c>
      <c r="C55" s="114"/>
      <c r="D55" s="114"/>
      <c r="E55" s="114"/>
      <c r="F55" s="115"/>
      <c r="G55" s="24">
        <f>(G49+G50-G51)*(1+'Fane 12. Nøgletal'!C14)</f>
        <v>12036597.620601375</v>
      </c>
      <c r="H55" s="14" t="s">
        <v>3</v>
      </c>
      <c r="I55" s="1"/>
    </row>
    <row r="56" spans="1:9" x14ac:dyDescent="0.25">
      <c r="A56" s="1"/>
      <c r="B56" s="113" t="s">
        <v>197</v>
      </c>
      <c r="C56" s="114"/>
      <c r="D56" s="114"/>
      <c r="E56" s="114"/>
      <c r="F56" s="115"/>
      <c r="G56" s="24">
        <f>-'Fane 11. Bortfald'!E33*(1+'Fane 12. Nøgletal'!C14)</f>
        <v>0</v>
      </c>
      <c r="H56" s="14" t="s">
        <v>3</v>
      </c>
      <c r="I56" s="1"/>
    </row>
    <row r="57" spans="1:9" x14ac:dyDescent="0.25">
      <c r="A57" s="1"/>
      <c r="B57" s="113" t="s">
        <v>198</v>
      </c>
      <c r="C57" s="114"/>
      <c r="D57" s="114"/>
      <c r="E57" s="114"/>
      <c r="F57" s="115"/>
      <c r="G57" s="24">
        <f>(G55+G56)*'Fane 12. Nøgletal'!C24</f>
        <v>178141.64478490036</v>
      </c>
      <c r="H57" s="14" t="s">
        <v>3</v>
      </c>
      <c r="I57" s="1"/>
    </row>
    <row r="58" spans="1:9" x14ac:dyDescent="0.25">
      <c r="A58" s="1"/>
      <c r="B58" s="54"/>
      <c r="C58" s="55"/>
      <c r="D58" s="55"/>
      <c r="E58" s="55"/>
      <c r="F58" s="55"/>
      <c r="G58" s="55"/>
      <c r="H58" s="20"/>
      <c r="I58" s="1"/>
    </row>
  </sheetData>
  <sheetProtection algorithmName="SHA-512" hashValue="hN2wil7MJiZg7WRUsWlUyEZyYb2bLknc4fVqsgHW8LUll0KxUEUJD8NjD13kBMkFn30EavPnlfa6TSupps6NAg==" saltValue="HM4QiRqFlEY1kLprPLaDAw==" spinCount="100000" sheet="1" objects="1" scenarios="1"/>
  <mergeCells count="37">
    <mergeCell ref="B1:H3"/>
    <mergeCell ref="B54:H54"/>
    <mergeCell ref="B55:F55"/>
    <mergeCell ref="B56:F56"/>
    <mergeCell ref="B57:F57"/>
    <mergeCell ref="B36:F36"/>
    <mergeCell ref="B45:F45"/>
    <mergeCell ref="B20:F20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9:F19"/>
    <mergeCell ref="B31:F31"/>
    <mergeCell ref="B18:F18"/>
    <mergeCell ref="B48:H48"/>
    <mergeCell ref="B29:H29"/>
    <mergeCell ref="B30:F30"/>
    <mergeCell ref="B32:F32"/>
    <mergeCell ref="B35:H35"/>
    <mergeCell ref="B23:H23"/>
    <mergeCell ref="B24:F24"/>
    <mergeCell ref="B25:F25"/>
    <mergeCell ref="B26:F26"/>
    <mergeCell ref="B49:F49"/>
    <mergeCell ref="B50:F50"/>
    <mergeCell ref="B51:F51"/>
    <mergeCell ref="B38:F38"/>
    <mergeCell ref="B44:F44"/>
    <mergeCell ref="B43:F43"/>
    <mergeCell ref="B42:H42"/>
    <mergeCell ref="B39:F3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90" t="s">
        <v>91</v>
      </c>
      <c r="C3" s="90"/>
      <c r="D3" s="90"/>
      <c r="E3" s="90"/>
      <c r="F3" s="90"/>
      <c r="G3" s="90"/>
      <c r="H3" s="90"/>
      <c r="I3" s="1"/>
    </row>
    <row r="4" spans="1:9" ht="15" customHeight="1" x14ac:dyDescent="0.25">
      <c r="A4" s="1"/>
      <c r="B4" s="90"/>
      <c r="C4" s="90"/>
      <c r="D4" s="90"/>
      <c r="E4" s="90"/>
      <c r="F4" s="90"/>
      <c r="G4" s="90"/>
      <c r="H4" s="9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6" t="s">
        <v>9</v>
      </c>
      <c r="C8" s="117"/>
      <c r="D8" s="117"/>
      <c r="E8" s="117"/>
      <c r="F8" s="117"/>
      <c r="G8" s="117"/>
      <c r="H8" s="118"/>
      <c r="I8" s="1"/>
    </row>
    <row r="9" spans="1:9" x14ac:dyDescent="0.25">
      <c r="A9" s="1"/>
      <c r="B9" s="113" t="s">
        <v>105</v>
      </c>
      <c r="C9" s="114"/>
      <c r="D9" s="114"/>
      <c r="E9" s="114"/>
      <c r="F9" s="115"/>
      <c r="G9" s="44">
        <v>0</v>
      </c>
      <c r="H9" s="14"/>
      <c r="I9" s="1"/>
    </row>
    <row r="10" spans="1:9" x14ac:dyDescent="0.25">
      <c r="A10" s="1"/>
      <c r="B10" s="113" t="s">
        <v>141</v>
      </c>
      <c r="C10" s="114"/>
      <c r="D10" s="114"/>
      <c r="E10" s="114"/>
      <c r="F10" s="115"/>
      <c r="G10" s="44">
        <v>5.1753186484176667E-4</v>
      </c>
      <c r="H10" s="14"/>
      <c r="I10" s="1"/>
    </row>
    <row r="11" spans="1:9" x14ac:dyDescent="0.25">
      <c r="A11" s="1"/>
      <c r="B11" s="54"/>
      <c r="C11" s="55"/>
      <c r="D11" s="55"/>
      <c r="E11" s="55"/>
      <c r="F11" s="55"/>
      <c r="G11" s="55"/>
      <c r="H11" s="20"/>
      <c r="I11" s="1"/>
    </row>
    <row r="12" spans="1:9" ht="14.25" customHeight="1" x14ac:dyDescent="0.25">
      <c r="A12" s="1"/>
      <c r="B12" s="125" t="s">
        <v>192</v>
      </c>
      <c r="C12" s="126"/>
      <c r="D12" s="126"/>
      <c r="E12" s="126"/>
      <c r="F12" s="126"/>
      <c r="G12" s="126"/>
      <c r="H12" s="127"/>
      <c r="I12" s="1"/>
    </row>
    <row r="13" spans="1:9" ht="12.75" customHeight="1" x14ac:dyDescent="0.25">
      <c r="A13" s="18"/>
      <c r="B13" s="128"/>
      <c r="C13" s="129"/>
      <c r="D13" s="129"/>
      <c r="E13" s="129"/>
      <c r="F13" s="129"/>
      <c r="G13" s="129"/>
      <c r="H13" s="130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ZnbK/hAHgVMQ5YMyUfzWMskjEjV4OlQxYlTmWmCYTO8Jh6XsrC+l7EHpBq+fCxD5j6Smy4o0Fq92itg2tW5NaA==" saltValue="HAAq7MW9cGMTmgUo7FtxVg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2021-09-03T11:31:42Z</dcterms:modified>
</cp:coreProperties>
</file>