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Mariagerfjord Vand AS (S06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<sst xmlns="http://schemas.openxmlformats.org/spreadsheetml/2006/main" count="609" uniqueCount="290">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</sst>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64mQqTagfC93sFXgI10iOaZ96BZuxV+CTW7iMbHRqLxQUgBXs4wzWgZcx0aHXvANYkeO3o4O18+ur4aDhfvw5A==" saltValue="IK/OWS5VBPcubIQ9vZY1g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1016713</v>
      </c>
      <c r="D10" s="14" t="s">
        <v>3</v>
      </c>
      <c r="E10" s="1"/>
      <c r="F10" s="1"/>
    </row>
    <row r="11" spans="1:6" x14ac:dyDescent="0.25">
      <c r="A11" s="1"/>
      <c r="B11" s="94" t="s">
        <v>266</v>
      </c>
      <c r="C11" s="9">
        <v>124254</v>
      </c>
      <c r="D11" s="14" t="s">
        <v>3</v>
      </c>
      <c r="E11" s="1"/>
      <c r="F11" s="1"/>
    </row>
    <row r="12" spans="1:6" x14ac:dyDescent="0.25">
      <c r="A12" s="1"/>
      <c r="B12" s="94" t="s">
        <v>267</v>
      </c>
      <c r="C12" s="9">
        <v>218299</v>
      </c>
      <c r="D12" s="14" t="s">
        <v>3</v>
      </c>
      <c r="E12" s="1"/>
      <c r="F12" s="1"/>
    </row>
    <row r="13" spans="1:6" x14ac:dyDescent="0.25">
      <c r="A13" s="1"/>
      <c r="B13" s="94" t="s">
        <v>268</v>
      </c>
      <c r="C13" s="9">
        <v>78853</v>
      </c>
      <c r="D13" s="14" t="s">
        <v>3</v>
      </c>
      <c r="E13" s="1"/>
      <c r="F13" s="1"/>
    </row>
    <row r="14" spans="1:6" x14ac:dyDescent="0.25">
      <c r="A14" s="1"/>
      <c r="B14" s="94" t="s">
        <v>269</v>
      </c>
      <c r="C14" s="9">
        <v>890811</v>
      </c>
      <c r="D14" s="14" t="s">
        <v>3</v>
      </c>
      <c r="E14" s="1"/>
      <c r="F14" s="1"/>
    </row>
    <row r="15" spans="1:6" x14ac:dyDescent="0.25">
      <c r="A15" s="1"/>
      <c r="B15" s="32" t="s">
        <v>200</v>
      </c>
      <c r="C15" s="12">
        <f>SUM(C10:C14)</f>
        <v>2328930</v>
      </c>
      <c r="D15" s="13" t="s">
        <v>3</v>
      </c>
      <c r="E15" s="1"/>
      <c r="F15" s="1"/>
    </row>
    <row r="16" spans="1:6" x14ac:dyDescent="0.25">
      <c r="A16" s="1"/>
      <c r="B16" s="32" t="s">
        <v>201</v>
      </c>
      <c r="C16" s="12">
        <f>C15*(1+'Fane 15. Nøgletal'!C15)^2</f>
        <v>2497701.4087248002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sleiC3BzN3kRR9rHAHAgmR5jv8OiwV1ThoI9IHUtWd7E3VcoyhXte5xEILhX2JCU0t7yySbeX5zu/w7onVr5GQ==" saltValue="zkWLDgMksmmbDUiVRM8KM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-6696990.2201703638</v>
      </c>
      <c r="F9" s="14" t="s">
        <v>3</v>
      </c>
      <c r="G9" s="1"/>
    </row>
    <row r="10" spans="1:7" x14ac:dyDescent="0.25">
      <c r="A10" s="1"/>
      <c r="B10" s="141" t="s">
        <v>263</v>
      </c>
      <c r="C10" s="142"/>
      <c r="D10" s="143"/>
      <c r="E10" s="9">
        <v>0</v>
      </c>
      <c r="F10" s="14" t="s">
        <v>3</v>
      </c>
      <c r="G10" s="1"/>
    </row>
    <row r="11" spans="1:7" x14ac:dyDescent="0.25">
      <c r="A11" s="1"/>
      <c r="B11" s="32"/>
      <c r="C11" s="27"/>
      <c r="D11" s="27"/>
      <c r="E11" s="27"/>
      <c r="F11" s="19"/>
      <c r="G11" s="1"/>
    </row>
    <row r="12" spans="1:7" ht="81" customHeight="1" x14ac:dyDescent="0.25">
      <c r="A12" s="1"/>
      <c r="B12" s="134" t="s">
        <v>288</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283</v>
      </c>
      <c r="C15" s="142"/>
      <c r="D15" s="143"/>
      <c r="E15" s="9">
        <v>0</v>
      </c>
      <c r="F15" s="14" t="s">
        <v>3</v>
      </c>
      <c r="G15" s="1"/>
    </row>
    <row r="16" spans="1:7" x14ac:dyDescent="0.25">
      <c r="A16" s="1"/>
      <c r="B16" s="141" t="s">
        <v>284</v>
      </c>
      <c r="C16" s="142"/>
      <c r="D16" s="143"/>
      <c r="E16" s="9">
        <v>0</v>
      </c>
      <c r="F16" s="14" t="s">
        <v>3</v>
      </c>
      <c r="G16" s="1"/>
    </row>
    <row r="17" spans="1:7" x14ac:dyDescent="0.25">
      <c r="A17" s="1"/>
      <c r="B17" s="32"/>
      <c r="C17" s="27"/>
      <c r="D17" s="27"/>
      <c r="E17" s="27"/>
      <c r="F17" s="19"/>
      <c r="G17" s="1"/>
    </row>
    <row r="18" spans="1:7" ht="31.5" customHeight="1" x14ac:dyDescent="0.25">
      <c r="A18" s="1"/>
      <c r="B18" s="134" t="s">
        <v>289</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105063501.31139956</v>
      </c>
      <c r="F21" s="14" t="s">
        <v>3</v>
      </c>
      <c r="G21" s="1"/>
    </row>
    <row r="22" spans="1:7" x14ac:dyDescent="0.25">
      <c r="A22" s="1"/>
      <c r="B22" s="91" t="s">
        <v>207</v>
      </c>
      <c r="C22" s="92"/>
      <c r="D22" s="93"/>
      <c r="E22" s="9">
        <v>93290922</v>
      </c>
      <c r="F22" s="14" t="s">
        <v>3</v>
      </c>
      <c r="G22" s="1"/>
    </row>
    <row r="23" spans="1:7" x14ac:dyDescent="0.25">
      <c r="A23" s="1"/>
      <c r="B23" s="91" t="s">
        <v>33</v>
      </c>
      <c r="C23" s="92"/>
      <c r="D23" s="93"/>
      <c r="E23" s="9">
        <v>0</v>
      </c>
      <c r="F23" s="14" t="s">
        <v>3</v>
      </c>
      <c r="G23" s="1"/>
    </row>
    <row r="24" spans="1:7" x14ac:dyDescent="0.25">
      <c r="A24" s="1"/>
      <c r="B24" s="88" t="s">
        <v>270</v>
      </c>
      <c r="C24" s="89"/>
      <c r="D24" s="96"/>
      <c r="E24" s="72">
        <f>E21-(E22-E23)</f>
        <v>11772579.311399564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285</v>
      </c>
      <c r="C27" s="132"/>
      <c r="D27" s="132"/>
      <c r="E27" s="132"/>
      <c r="F27" s="133"/>
      <c r="G27" s="1"/>
    </row>
    <row r="28" spans="1:7" x14ac:dyDescent="0.25">
      <c r="A28" s="1"/>
      <c r="B28" s="137" t="s">
        <v>286</v>
      </c>
      <c r="C28" s="138"/>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giAmmLwaqALk0vsEhUB1e9d6vT85WTKBClkMNVtADJYiFKZ8gnhbzxdkx0nu2EZuAWdqOCUrGoq4YYOPtM5log==" saltValue="S6MMPkeTytON1w3/EDelw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275</v>
      </c>
      <c r="C10" s="164"/>
      <c r="D10" s="164"/>
      <c r="E10" s="164"/>
      <c r="F10" s="165"/>
      <c r="G10" s="9">
        <v>0</v>
      </c>
      <c r="H10" s="9" t="s">
        <v>3</v>
      </c>
      <c r="I10" s="1"/>
    </row>
    <row r="11" spans="1:9" x14ac:dyDescent="0.25">
      <c r="A11" s="1"/>
      <c r="B11" s="163" t="s">
        <v>276</v>
      </c>
      <c r="C11" s="164"/>
      <c r="D11" s="164"/>
      <c r="E11" s="164"/>
      <c r="F11" s="165"/>
      <c r="G11" s="9">
        <v>0</v>
      </c>
      <c r="H11" s="9" t="s">
        <v>3</v>
      </c>
      <c r="I11" s="1"/>
    </row>
    <row r="12" spans="1:9" x14ac:dyDescent="0.25">
      <c r="A12" s="1"/>
      <c r="B12" s="163" t="s">
        <v>277</v>
      </c>
      <c r="C12" s="164"/>
      <c r="D12" s="164"/>
      <c r="E12" s="164"/>
      <c r="F12" s="165"/>
      <c r="G12" s="9">
        <v>0</v>
      </c>
      <c r="H12" s="9" t="s">
        <v>3</v>
      </c>
      <c r="I12" s="1"/>
    </row>
    <row r="13" spans="1:9" x14ac:dyDescent="0.25">
      <c r="A13" s="1"/>
      <c r="B13" s="163" t="s">
        <v>278</v>
      </c>
      <c r="C13" s="164"/>
      <c r="D13" s="164"/>
      <c r="E13" s="164"/>
      <c r="F13" s="165"/>
      <c r="G13" s="9">
        <v>0</v>
      </c>
      <c r="H13" s="9" t="s">
        <v>3</v>
      </c>
      <c r="I13" s="1"/>
    </row>
    <row r="14" spans="1:9" x14ac:dyDescent="0.25">
      <c r="A14" s="1"/>
      <c r="B14" s="163" t="s">
        <v>279</v>
      </c>
      <c r="C14" s="164"/>
      <c r="D14" s="164"/>
      <c r="E14" s="164"/>
      <c r="F14" s="165"/>
      <c r="G14" s="9">
        <v>0</v>
      </c>
      <c r="H14" s="9" t="s">
        <v>3</v>
      </c>
      <c r="I14" s="1"/>
    </row>
    <row r="15" spans="1:9" x14ac:dyDescent="0.25">
      <c r="A15" s="1"/>
      <c r="B15" s="163" t="s">
        <v>280</v>
      </c>
      <c r="C15" s="164"/>
      <c r="D15" s="164"/>
      <c r="E15" s="164"/>
      <c r="F15" s="165"/>
      <c r="G15" s="9">
        <v>0</v>
      </c>
      <c r="H15" s="9" t="s">
        <v>3</v>
      </c>
      <c r="I15" s="1"/>
    </row>
    <row r="16" spans="1:9" x14ac:dyDescent="0.25">
      <c r="A16" s="1"/>
      <c r="B16" s="163" t="s">
        <v>281</v>
      </c>
      <c r="C16" s="164"/>
      <c r="D16" s="164"/>
      <c r="E16" s="164"/>
      <c r="F16" s="165"/>
      <c r="G16" s="9">
        <v>0</v>
      </c>
      <c r="H16" s="9" t="s">
        <v>3</v>
      </c>
      <c r="I16" s="1"/>
    </row>
    <row r="17" spans="1:9" x14ac:dyDescent="0.25">
      <c r="A17" s="1"/>
      <c r="B17" s="163" t="s">
        <v>282</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dO7+sixjHj7oQUK5hol/XfXCHz3A5U+yw96pgzt2KI/mFWiADuZoIIfHpcuPhIzFrR+CiZIXLdgfHJWjMdAnng==" saltValue="Jx6AbFeaV9Y6uJcmzPy1r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59"/>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59"/>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QzxwX0AClEWP7ae20rDafn518Equjb0A2NxuryZjlg5t+3/urxaaPvhO2/KWh06IxSPisQLoBvPd1V1KAfL4g==" saltValue="qgxr52smxFEtt6pW2vqt2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273</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d9MQu4djuyNqNRS2wC8dW5Zrmd9yLduF1MOlCzIMBGbkfFu0r0e5e4TF6Es49yYLok3Z53LuIW10Wi/A7QBxZw==" saltValue="azXjAJFPSLtK7gEsuV2XG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x+wtuK5EwJD7gLyk4C53edvcmDr5KHzh/kiII9jVQsb1EgYymmVsECi92APqZRkAS2fKht7NOMV12X65zoGqQ==" saltValue="yZR3spfPL5aKIyZbxrHTu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272</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jOSeOCbDHDED3PynvywLBfEV5qhdm6tEpjZ5a1ifm0g0n0PlQCMTJ2v8FUgEd9FnifU7RRYsTN2WJWaSBl089g==" saltValue="XcwkJHPtvrRrntk+taapk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ec7J3ImpWKL8TAJ4TWZU/pccZENpKG3WQkFMDmdQVnQBycvEzJ0XG4C8ds77NSsN2g7bJHSRF8cUQBxdk5ECQ==" saltValue="7V6NTFoUnYAaPATL2ykMb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28515625" style="2" customWidth="1"/>
    <col min="2" max="2" width="40.4257812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2qeZmkgV2r/8BoZQkudcbyrbNij7138RjJLAggmZ7UikFrsFSrcRQxhksm5fi3QHaH1caxGQev7/WChuOjiYA==" saltValue="7B+YVAfNzK910p1MKmewu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WY5vcMXg3WI7mtcndwaCsFJ+WwxqXCrEmqrZFwd8JCQV63/hlwqgDT5HwZ4qF1W3cDPmQ4Vr0FzKlGgzr+6xUg==" saltValue="uysLHQ808f/Ek8m0UsD2f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102255531.67748219</v>
      </c>
      <c r="D9" s="8" t="s">
        <v>3</v>
      </c>
      <c r="E9" s="1"/>
    </row>
    <row r="10" spans="1:5" ht="17.25" customHeight="1" x14ac:dyDescent="0.25">
      <c r="A10" s="1"/>
      <c r="B10" s="82" t="s">
        <v>39</v>
      </c>
      <c r="C10" s="7">
        <f>'Fane 11.1. Varige tillæg'!C13</f>
        <v>0</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337443.25453569123</v>
      </c>
      <c r="D16" s="8" t="s">
        <v>3</v>
      </c>
      <c r="E16" s="1"/>
    </row>
    <row r="17" spans="1:5" ht="17.25" customHeight="1" x14ac:dyDescent="0.25">
      <c r="A17" s="1"/>
      <c r="B17" s="82" t="s">
        <v>10</v>
      </c>
      <c r="C17" s="44">
        <f>-SUM(C9,C10:C16)*'Fane 5. Individuelt eff. krav'!G9</f>
        <v>-2051859.4986403575</v>
      </c>
      <c r="D17" s="8" t="s">
        <v>3</v>
      </c>
      <c r="E17" s="1"/>
    </row>
    <row r="18" spans="1:5" ht="17.25" customHeight="1" x14ac:dyDescent="0.25">
      <c r="A18" s="1"/>
      <c r="B18" s="82" t="s">
        <v>24</v>
      </c>
      <c r="C18" s="44">
        <f>-'Fane 4.1. Gen. krav - drift'!G45</f>
        <v>-582377.4194107959</v>
      </c>
      <c r="D18" s="8" t="s">
        <v>3</v>
      </c>
      <c r="E18" s="1"/>
    </row>
    <row r="19" spans="1:5" ht="17.25" customHeight="1" x14ac:dyDescent="0.25">
      <c r="A19" s="1"/>
      <c r="B19" s="82" t="s">
        <v>25</v>
      </c>
      <c r="C19" s="44">
        <f>-'Fane 4.2. Gen. krav - anlæg'!G43</f>
        <v>-1260990.2431923558</v>
      </c>
      <c r="D19" s="8" t="s">
        <v>3</v>
      </c>
      <c r="E19" s="48"/>
    </row>
    <row r="20" spans="1:5" ht="17.25" customHeight="1" x14ac:dyDescent="0.25">
      <c r="A20" s="1"/>
      <c r="B20" s="88" t="s">
        <v>21</v>
      </c>
      <c r="C20" s="10">
        <f>SUM(C9:C19)</f>
        <v>98697747.770774364</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2497701.4087248002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101195449.17949916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BK19rfsO6bc2VW5+BBIVNPdU3YbZYdliEUiTeP4yfYvcC8d6lmDxiAocpDNAxr4uCmMqMaLejuiXnW1SFaDUw==" saltValue="2yaaKIxwbEGPN/UaH9xZH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68lzlDsdjyXvR89OZs69DEDlRNcsokwKYkZjloEmjiUkB4eyycRr3R3A2CaTAsFdd1t/7qGaD16e+fW9jiSmZQ==" saltValue="z3nKu0hG5NKEJF4EDV016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98697747.770774364</v>
      </c>
      <c r="D9" s="8" t="s">
        <v>3</v>
      </c>
      <c r="E9" s="1"/>
    </row>
    <row r="10" spans="1:5" ht="15" customHeight="1" x14ac:dyDescent="0.25">
      <c r="A10" s="1"/>
      <c r="B10" s="25" t="s">
        <v>19</v>
      </c>
      <c r="C10" s="7">
        <f>SUM(C9:C9)*'Fane 15. Nøgletal'!C15</f>
        <v>3513639.8206395674</v>
      </c>
      <c r="D10" s="8" t="s">
        <v>3</v>
      </c>
      <c r="E10" s="1"/>
    </row>
    <row r="11" spans="1:5" ht="15" customHeight="1" x14ac:dyDescent="0.25">
      <c r="A11" s="1"/>
      <c r="B11" s="25" t="s">
        <v>10</v>
      </c>
      <c r="C11" s="9">
        <f>-SUM(C9:C10)*'Fane 5. Individuelt eff. krav'!G9</f>
        <v>-2044227.7518282786</v>
      </c>
      <c r="D11" s="8" t="s">
        <v>3</v>
      </c>
      <c r="E11" s="1"/>
    </row>
    <row r="12" spans="1:5" ht="15" customHeight="1" x14ac:dyDescent="0.25">
      <c r="A12" s="1"/>
      <c r="B12" s="25" t="s">
        <v>24</v>
      </c>
      <c r="C12" s="9">
        <f>-'Fane 4.1. Gen. krav - drift'!G53</f>
        <v>-591047.85443098401</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99576111.985154659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2586619.5788754034</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102162731.56403007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rHSe5uj/0Eriu+qwk4JFqkJwBD3df8eDy1psH/Tsm84dda5nmE+Yns4wXMVAzrpX3lJibYdWJlYK084W00DHA==" saltValue="Yb7i5Qlc7hYqtISV2d8aE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99576111.985154659</v>
      </c>
      <c r="D9" s="8" t="s">
        <v>3</v>
      </c>
      <c r="E9" s="1"/>
    </row>
    <row r="10" spans="1:5" ht="15" customHeight="1" x14ac:dyDescent="0.25">
      <c r="A10" s="1"/>
      <c r="B10" s="25" t="s">
        <v>19</v>
      </c>
      <c r="C10" s="7">
        <f>SUM(C9:C9)*'Fane 15. Nøgletal'!C15</f>
        <v>3544909.5866715056</v>
      </c>
      <c r="D10" s="8" t="s">
        <v>3</v>
      </c>
      <c r="E10" s="1"/>
    </row>
    <row r="11" spans="1:5" ht="15" customHeight="1" x14ac:dyDescent="0.25">
      <c r="A11" s="1"/>
      <c r="B11" s="25" t="s">
        <v>10</v>
      </c>
      <c r="C11" s="9">
        <f>-SUM(C9:C10)*'Fane 5. Individuelt eff. krav'!G9</f>
        <v>-2062420.4314365233</v>
      </c>
      <c r="D11" s="8" t="s">
        <v>3</v>
      </c>
      <c r="E11" s="1"/>
    </row>
    <row r="12" spans="1:5" ht="15" customHeight="1" x14ac:dyDescent="0.25">
      <c r="A12" s="1"/>
      <c r="B12" s="25" t="s">
        <v>24</v>
      </c>
      <c r="C12" s="9">
        <f>-'Fane 4.1. Gen. krav - drift'!G58</f>
        <v>-599847.37488775246</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100458753.76550189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2678703.2358833677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103137457.00138526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QQyRPOCvSqbSzCRg4tFfAEZJOGMzr6UGdsFkCtF9QlMWSJJzy5CoHr+mKOafZbhzx4t6PAaxpSpwom1V4FUHg==" saltValue="rSDF8p6z9l0OL++0n0+a0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100458753.76550189</v>
      </c>
      <c r="D9" s="8" t="s">
        <v>3</v>
      </c>
      <c r="E9" s="1"/>
    </row>
    <row r="10" spans="1:5" ht="15" customHeight="1" x14ac:dyDescent="0.25">
      <c r="A10" s="1"/>
      <c r="B10" s="25" t="s">
        <v>19</v>
      </c>
      <c r="C10" s="7">
        <f>SUM(C9:C9)*'Fane 15. Nøgletal'!C15</f>
        <v>3576331.6340518673</v>
      </c>
      <c r="D10" s="8" t="s">
        <v>3</v>
      </c>
      <c r="E10" s="1"/>
    </row>
    <row r="11" spans="1:5" ht="15" customHeight="1" x14ac:dyDescent="0.25">
      <c r="A11" s="1"/>
      <c r="B11" s="25" t="s">
        <v>10</v>
      </c>
      <c r="C11" s="9">
        <f>-SUM(C9:C10)*'Fane 5. Individuelt eff. krav'!G9</f>
        <v>-2080701.7079910752</v>
      </c>
      <c r="D11" s="8" t="s">
        <v>3</v>
      </c>
      <c r="E11" s="1"/>
    </row>
    <row r="12" spans="1:5" ht="15" customHeight="1" x14ac:dyDescent="0.25">
      <c r="A12" s="1"/>
      <c r="B12" s="25" t="s">
        <v>24</v>
      </c>
      <c r="C12" s="9">
        <f>-'Fane 4.1. Gen. krav - drift'!G63</f>
        <v>-608777.90260508133</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101345605.7889576</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2774065.071080816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104119670.86003841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evYCwAdARLprgYspPHvkR7LoXxpfl93z4/xnfyQRFjO+m4LXJKvXtdkV2vuSEiQFjsvXAe2T4b1P5f/OT+Icg==" saltValue="BXZCpwAr/nqZXxeO5tqZd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34" t="s">
        <v>192</v>
      </c>
      <c r="C9" s="135"/>
      <c r="D9" s="136"/>
      <c r="E9" s="7">
        <v>101256820.83284476</v>
      </c>
      <c r="F9" s="8" t="s">
        <v>3</v>
      </c>
      <c r="G9" s="1"/>
    </row>
    <row r="10" spans="1:7" ht="15" customHeight="1" x14ac:dyDescent="0.25">
      <c r="A10" s="1"/>
      <c r="B10" s="125" t="s">
        <v>39</v>
      </c>
      <c r="C10" s="126"/>
      <c r="D10" s="127"/>
      <c r="E10" s="7">
        <v>1284835.0097000001</v>
      </c>
      <c r="F10" s="8" t="s">
        <v>3</v>
      </c>
      <c r="G10" s="1"/>
    </row>
    <row r="11" spans="1:7" ht="15" customHeight="1" x14ac:dyDescent="0.25">
      <c r="A11" s="1"/>
      <c r="B11" s="125" t="s">
        <v>40</v>
      </c>
      <c r="C11" s="126"/>
      <c r="D11" s="127"/>
      <c r="E11" s="9">
        <v>3357411.0144000002</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349466.92062791775</v>
      </c>
      <c r="F16" s="8" t="s">
        <v>3</v>
      </c>
      <c r="G16" s="1"/>
    </row>
    <row r="17" spans="1:7" ht="15" customHeight="1" x14ac:dyDescent="0.25">
      <c r="A17" s="1"/>
      <c r="B17" s="134" t="s">
        <v>10</v>
      </c>
      <c r="C17" s="135"/>
      <c r="D17" s="136"/>
      <c r="E17" s="9">
        <v>-2124970.6755514541</v>
      </c>
      <c r="F17" s="8" t="s">
        <v>3</v>
      </c>
      <c r="G17" s="1"/>
    </row>
    <row r="18" spans="1:7" ht="15" customHeight="1" x14ac:dyDescent="0.25">
      <c r="A18" s="1"/>
      <c r="B18" s="134" t="s">
        <v>24</v>
      </c>
      <c r="C18" s="135"/>
      <c r="D18" s="136"/>
      <c r="E18" s="9">
        <f>-'Fane 4.1. Gen. krav - drift'!G39</f>
        <v>-592308.05628242705</v>
      </c>
      <c r="F18" s="8" t="s">
        <v>3</v>
      </c>
      <c r="G18" s="1"/>
    </row>
    <row r="19" spans="1:7" ht="15" customHeight="1" x14ac:dyDescent="0.25">
      <c r="A19" s="1"/>
      <c r="B19" s="134" t="s">
        <v>25</v>
      </c>
      <c r="C19" s="135"/>
      <c r="D19" s="136"/>
      <c r="E19" s="9">
        <f>-'Fane 4.2. Gen. krav - anlæg'!G37</f>
        <v>-1275723.3682566127</v>
      </c>
      <c r="F19" s="8" t="s">
        <v>3</v>
      </c>
      <c r="G19" s="1"/>
    </row>
    <row r="20" spans="1:7" ht="15" customHeight="1" x14ac:dyDescent="0.25">
      <c r="A20" s="1"/>
      <c r="B20" s="54" t="s">
        <v>21</v>
      </c>
      <c r="C20" s="99"/>
      <c r="D20" s="101"/>
      <c r="E20" s="51">
        <f>SUM(E9:E19)</f>
        <v>102255531.67748219</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1760982.2033511302</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104016513.88083331</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HhNYNwDHx3R/NKZmPJl1HTc7kRjFco6X0zOUTpzDFEv1U0hOXviF00YsSALEx+AgHkzfgf2X0jNOmfCVwctQoQ==" saltValue="iZ6kNBjBXZxAvr59tg9iC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140625" style="2" customWidth="1"/>
    <col min="2" max="5" width="9.140625" style="2"/>
    <col min="6" max="6" width="23.5703125"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29064699.723034557</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581293.99446069112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28981865.328823909</v>
      </c>
      <c r="H11" s="14" t="s">
        <v>3</v>
      </c>
      <c r="I11" s="1"/>
    </row>
    <row r="12" spans="1:9" ht="15" customHeight="1" x14ac:dyDescent="0.25">
      <c r="A12" s="1"/>
      <c r="B12" s="141" t="s">
        <v>121</v>
      </c>
      <c r="C12" s="142"/>
      <c r="D12" s="142"/>
      <c r="E12" s="142"/>
      <c r="F12" s="143"/>
      <c r="G12" s="77">
        <v>-50035.243615499661</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578636.60170416813</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28849374.369465567</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576987.48738931131</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28829352.90365316</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576587.05807306326</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28809345.332738027</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576186.90665476059</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28326327.848889343</v>
      </c>
      <c r="H37" s="14" t="s">
        <v>3</v>
      </c>
      <c r="I37" s="1"/>
    </row>
    <row r="38" spans="1:9" x14ac:dyDescent="0.25">
      <c r="A38" s="1"/>
      <c r="B38" s="141" t="s">
        <v>164</v>
      </c>
      <c r="C38" s="142"/>
      <c r="D38" s="142"/>
      <c r="E38" s="142"/>
      <c r="F38" s="143"/>
      <c r="G38" s="76">
        <v>1289074.9652320102</v>
      </c>
      <c r="H38" s="14" t="s">
        <v>3</v>
      </c>
      <c r="I38" s="1"/>
    </row>
    <row r="39" spans="1:9" x14ac:dyDescent="0.25">
      <c r="A39" s="1"/>
      <c r="B39" s="141" t="s">
        <v>162</v>
      </c>
      <c r="C39" s="142"/>
      <c r="D39" s="142"/>
      <c r="E39" s="142"/>
      <c r="F39" s="143"/>
      <c r="G39" s="76">
        <f>(G37+G38)*'Fane 15. Nøgletal'!C31</f>
        <v>592308.05628242705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29118870.970539797</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0</v>
      </c>
      <c r="H44" s="14" t="s">
        <v>3</v>
      </c>
      <c r="I44" s="1"/>
    </row>
    <row r="45" spans="1:9" x14ac:dyDescent="0.25">
      <c r="A45" s="1"/>
      <c r="B45" s="141" t="s">
        <v>163</v>
      </c>
      <c r="C45" s="142"/>
      <c r="D45" s="142"/>
      <c r="E45" s="142"/>
      <c r="F45" s="143"/>
      <c r="G45" s="76">
        <f>SUM(G43:G44)*'Fane 15. Nøgletal'!C31</f>
        <v>582377.4194107959</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29552392.721549198</v>
      </c>
      <c r="H52" s="14" t="s">
        <v>3</v>
      </c>
      <c r="I52" s="1"/>
    </row>
    <row r="53" spans="1:9" x14ac:dyDescent="0.25">
      <c r="A53" s="1"/>
      <c r="B53" s="141" t="s">
        <v>138</v>
      </c>
      <c r="C53" s="142"/>
      <c r="D53" s="142"/>
      <c r="E53" s="142"/>
      <c r="F53" s="143"/>
      <c r="G53" s="76">
        <f>(G52)*'Fane 15. Nøgletal'!C31</f>
        <v>591047.85443098401</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29992368.744387623</v>
      </c>
      <c r="H57" s="14" t="s">
        <v>3</v>
      </c>
      <c r="I57" s="1"/>
    </row>
    <row r="58" spans="1:9" x14ac:dyDescent="0.25">
      <c r="A58" s="1"/>
      <c r="B58" s="91" t="s">
        <v>152</v>
      </c>
      <c r="C58" s="92"/>
      <c r="D58" s="92"/>
      <c r="E58" s="92"/>
      <c r="F58" s="93"/>
      <c r="G58" s="76">
        <f>(G57)*'Fane 15. Nøgletal'!C31</f>
        <v>599847.37488775246</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30438895.130254067</v>
      </c>
      <c r="H62" s="14" t="s">
        <v>3</v>
      </c>
      <c r="I62" s="1"/>
    </row>
    <row r="63" spans="1:9" x14ac:dyDescent="0.25">
      <c r="A63" s="1"/>
      <c r="B63" s="91" t="s">
        <v>195</v>
      </c>
      <c r="C63" s="92"/>
      <c r="D63" s="92"/>
      <c r="E63" s="92"/>
      <c r="F63" s="93"/>
      <c r="G63" s="76">
        <f>(G62)*'Fane 15. Nøgletal'!C31</f>
        <v>608777.90260508133</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XmvagQAVdhULzrA1Pky1vPn84wbTGNWVrB17Y4Axk3WH9bcKxeiLy9YKkaTVkIb3ZIZQKYQrKxdw4GtaB8pEIw==" saltValue="88SOjIMcRL2uo9UBPMV0I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7.1406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82045859.795168594</v>
      </c>
      <c r="H5" s="14" t="s">
        <v>3</v>
      </c>
      <c r="I5" s="1"/>
    </row>
    <row r="6" spans="1:9" x14ac:dyDescent="0.25">
      <c r="A6" s="1"/>
      <c r="B6" s="141" t="s">
        <v>57</v>
      </c>
      <c r="C6" s="142"/>
      <c r="D6" s="142"/>
      <c r="E6" s="142"/>
      <c r="F6" s="143"/>
      <c r="G6" s="76">
        <f>G5*'Fane 15. Nøgletal'!C20</f>
        <v>746617.32413603424</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82721979.214275628</v>
      </c>
      <c r="H10" s="14" t="s">
        <v>3</v>
      </c>
      <c r="I10" s="1"/>
    </row>
    <row r="11" spans="1:9" x14ac:dyDescent="0.25">
      <c r="A11" s="1"/>
      <c r="B11" s="141" t="s">
        <v>122</v>
      </c>
      <c r="C11" s="142"/>
      <c r="D11" s="142"/>
      <c r="E11" s="142"/>
      <c r="F11" s="143"/>
      <c r="G11" s="76">
        <v>367483.04197427252</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1470683.4819356233</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83047107.402864784</v>
      </c>
      <c r="H17" s="14" t="s">
        <v>3</v>
      </c>
      <c r="I17" s="1"/>
    </row>
    <row r="18" spans="1:9" x14ac:dyDescent="0.25">
      <c r="A18" s="1"/>
      <c r="B18" s="144" t="s">
        <v>68</v>
      </c>
      <c r="C18" s="145"/>
      <c r="D18" s="145"/>
      <c r="E18" s="145"/>
      <c r="F18" s="146"/>
      <c r="G18" s="76">
        <v>2058771.3818050995</v>
      </c>
      <c r="H18" s="14" t="s">
        <v>3</v>
      </c>
      <c r="I18" s="1"/>
    </row>
    <row r="19" spans="1:9" x14ac:dyDescent="0.25">
      <c r="A19" s="1"/>
      <c r="B19" s="141" t="s">
        <v>69</v>
      </c>
      <c r="C19" s="142"/>
      <c r="D19" s="142"/>
      <c r="E19" s="142"/>
      <c r="F19" s="143"/>
      <c r="G19" s="76">
        <f>G17*'Fane 15. Nøgletal'!C21+G18*'Fane 15. Nøgletal'!C22</f>
        <v>1487845.1120524111</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85265308.935968027</v>
      </c>
      <c r="H23" s="14" t="s">
        <v>3</v>
      </c>
      <c r="I23" s="1"/>
    </row>
    <row r="24" spans="1:9" x14ac:dyDescent="0.25">
      <c r="A24" s="1"/>
      <c r="B24" s="144" t="s">
        <v>72</v>
      </c>
      <c r="C24" s="145"/>
      <c r="D24" s="145"/>
      <c r="E24" s="145"/>
      <c r="F24" s="146"/>
      <c r="G24" s="76">
        <v>490668.68302880676</v>
      </c>
      <c r="H24" s="14" t="s">
        <v>3</v>
      </c>
      <c r="I24" s="1"/>
    </row>
    <row r="25" spans="1:9" x14ac:dyDescent="0.25">
      <c r="A25" s="1"/>
      <c r="B25" s="141" t="s">
        <v>73</v>
      </c>
      <c r="C25" s="142"/>
      <c r="D25" s="142"/>
      <c r="E25" s="142"/>
      <c r="F25" s="143"/>
      <c r="G25" s="76">
        <f>(G23+G24)*'Fane 15. Nøgletal'!C23</f>
        <v>2435469.7643795102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84961921.859353274</v>
      </c>
      <c r="H29" s="14" t="s">
        <v>3</v>
      </c>
      <c r="I29" s="1"/>
    </row>
    <row r="30" spans="1:9" x14ac:dyDescent="0.25">
      <c r="A30" s="1"/>
      <c r="B30" s="141" t="s">
        <v>139</v>
      </c>
      <c r="C30" s="142"/>
      <c r="D30" s="142"/>
      <c r="E30" s="142"/>
      <c r="F30" s="143"/>
      <c r="G30" s="76">
        <v>7809.1112584800003</v>
      </c>
      <c r="H30" s="14" t="s">
        <v>3</v>
      </c>
      <c r="I30" s="1"/>
    </row>
    <row r="31" spans="1:9" x14ac:dyDescent="0.25">
      <c r="A31" s="1"/>
      <c r="B31" s="141" t="s">
        <v>76</v>
      </c>
      <c r="C31" s="142"/>
      <c r="D31" s="142"/>
      <c r="E31" s="142"/>
      <c r="F31" s="143"/>
      <c r="G31" s="76">
        <f>G29*'Fane 15. Nøgletal'!C23+G30*'Fane 15. Nøgletal'!C24</f>
        <v>2413133.3313652412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82829034.411456034</v>
      </c>
      <c r="H35" s="14" t="s">
        <v>3</v>
      </c>
      <c r="I35" s="1"/>
    </row>
    <row r="36" spans="1:9" x14ac:dyDescent="0.25">
      <c r="A36" s="1"/>
      <c r="B36" s="141" t="s">
        <v>167</v>
      </c>
      <c r="C36" s="142"/>
      <c r="D36" s="142"/>
      <c r="E36" s="142"/>
      <c r="F36" s="143"/>
      <c r="G36" s="76">
        <v>3368490.4707475207</v>
      </c>
      <c r="H36" s="14" t="s">
        <v>3</v>
      </c>
      <c r="I36" s="1"/>
    </row>
    <row r="37" spans="1:9" x14ac:dyDescent="0.25">
      <c r="A37" s="1"/>
      <c r="B37" s="141" t="s">
        <v>166</v>
      </c>
      <c r="C37" s="142"/>
      <c r="D37" s="142"/>
      <c r="E37" s="142"/>
      <c r="F37" s="143"/>
      <c r="G37" s="76">
        <f>(G35+G36)*'Fane 15. Nøgletal'!C25</f>
        <v>1275723.3682566127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85202043.458942965</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1" t="s">
        <v>168</v>
      </c>
      <c r="C43" s="142"/>
      <c r="D43" s="142"/>
      <c r="E43" s="142"/>
      <c r="F43" s="143"/>
      <c r="G43" s="76">
        <f>(G41)*'Fane 15. Nøgletal'!C25+G42*'Fane 15. Nøgletal'!C26</f>
        <v>1260990.2431923558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86929354.710231334</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90024039.737915576</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93228895.552585378</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feFwqWW5XdjNyPOLm5PxhKqiBpKfo8VzcuoM9112yycNtwxeE+5nh8BtdVcVya7u1Pb6fw7YINeXaMUDwg/9cQ==" saltValue="tvL2gdLJm600mn2mqPOoL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0.02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xtmKvKP8LyomT8d2Ph/fXW1/KiXpMU1onrFnnfuZsj5TViXLH8P6Swa3VA5JKWlu00uLTScpXS170JHEUZnFeg==" saltValue="uRRTVxwQBwP5gCZhHyax0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2022-12-01T08:50:49Z</dcterms:modified>
</cp:coreProperties>
</file>