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Spildevand\HOFOR SPILDEVAND BRØNDBY AS (S011)\ØR2021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1" sheetId="2" r:id="rId2"/>
    <sheet name="Fane 2.2. Økonomisk ramme 2022" sheetId="15" r:id="rId3"/>
    <sheet name="Fane 2.3. Økonomisk ramme 2023" sheetId="22" r:id="rId4"/>
    <sheet name="Fane 2.4. Økonomisk ramme 2024" sheetId="23" r:id="rId5"/>
    <sheet name="Fane 3. Omkostninger i ØR2020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19" sheetId="32" r:id="rId11"/>
    <sheet name="Fane 8. Korrektion af ØR2019" sheetId="40" r:id="rId12"/>
    <sheet name="Fane 9. Anlægsprojekter" sheetId="11" r:id="rId13"/>
    <sheet name="Fane 10.1. Varige tillæg" sheetId="37" r:id="rId14"/>
    <sheet name="Fane 10.2. Engangstillæg" sheetId="39" r:id="rId15"/>
    <sheet name="Fane 11. Periodevise driftsomk." sheetId="20" r:id="rId16"/>
    <sheet name="Fane 12. Tilknyttet virksomhed" sheetId="29" r:id="rId17"/>
    <sheet name="Fane 13. Bortfald" sheetId="21" r:id="rId18"/>
    <sheet name="Fane 14. Nøgletal" sheetId="26" r:id="rId19"/>
  </sheets>
  <calcPr calcId="162913" concurrentCalc="0"/>
</workbook>
</file>

<file path=xl/calcChain.xml><?xml version="1.0" encoding="utf-8"?>
<calcChain xmlns="http://schemas.openxmlformats.org/spreadsheetml/2006/main">
  <c r="E12" i="20" l="1"/>
  <c r="E9" i="20"/>
  <c r="G35" i="36"/>
  <c r="G31" i="36"/>
  <c r="G11" i="36"/>
  <c r="G13" i="30"/>
  <c r="G17" i="11"/>
  <c r="F17" i="11"/>
  <c r="E11" i="11"/>
  <c r="E12" i="11"/>
  <c r="E13" i="11"/>
  <c r="E14" i="11"/>
  <c r="E16" i="40"/>
  <c r="E12" i="40"/>
  <c r="C13" i="19"/>
  <c r="E28" i="32"/>
  <c r="E32" i="32"/>
  <c r="C30" i="2"/>
  <c r="E38" i="32"/>
  <c r="E20" i="32"/>
  <c r="E12" i="32"/>
  <c r="E16" i="27"/>
  <c r="E17" i="27"/>
  <c r="E15" i="11"/>
  <c r="E16" i="11"/>
  <c r="E10" i="11"/>
  <c r="E17" i="11"/>
  <c r="G8" i="30"/>
  <c r="E29" i="20"/>
  <c r="E23" i="20"/>
  <c r="E17" i="20"/>
  <c r="E11" i="20"/>
  <c r="E40" i="32"/>
  <c r="C26" i="22"/>
  <c r="C26" i="15"/>
  <c r="E17" i="40"/>
  <c r="E28" i="20"/>
  <c r="E30" i="20"/>
  <c r="E22" i="20"/>
  <c r="E16" i="20"/>
  <c r="E10" i="20"/>
  <c r="E24" i="20"/>
  <c r="C20" i="22"/>
  <c r="C27" i="22"/>
  <c r="E18" i="20"/>
  <c r="C20" i="15"/>
  <c r="C24" i="2"/>
  <c r="C20" i="23"/>
  <c r="C32" i="2"/>
  <c r="E29" i="21"/>
  <c r="E30" i="21"/>
  <c r="G48" i="36"/>
  <c r="C29" i="21"/>
  <c r="C30" i="21"/>
  <c r="G53" i="30"/>
  <c r="E23" i="21"/>
  <c r="E24" i="21"/>
  <c r="G42" i="36"/>
  <c r="C23" i="21"/>
  <c r="C24" i="21"/>
  <c r="G45" i="30"/>
  <c r="E17" i="21"/>
  <c r="E18" i="21"/>
  <c r="G36" i="36"/>
  <c r="C17" i="21"/>
  <c r="C18" i="21"/>
  <c r="G39" i="30"/>
  <c r="C11" i="15"/>
  <c r="C10" i="22"/>
  <c r="C11" i="22"/>
  <c r="C10" i="15"/>
  <c r="C10" i="23"/>
  <c r="C11" i="23"/>
  <c r="E35" i="39"/>
  <c r="C35" i="39"/>
  <c r="E27" i="39"/>
  <c r="C27" i="39"/>
  <c r="E19" i="39"/>
  <c r="E21" i="39"/>
  <c r="C19" i="39"/>
  <c r="C21" i="39"/>
  <c r="E11" i="39"/>
  <c r="E13" i="39"/>
  <c r="C11" i="39"/>
  <c r="C13" i="39"/>
  <c r="E37" i="39"/>
  <c r="E36" i="39"/>
  <c r="C37" i="39"/>
  <c r="C36" i="39"/>
  <c r="E29" i="39"/>
  <c r="E28" i="39"/>
  <c r="C29" i="39"/>
  <c r="C28" i="39"/>
  <c r="E20" i="39"/>
  <c r="E12" i="39"/>
  <c r="C20" i="39"/>
  <c r="C12" i="39"/>
  <c r="C14" i="39"/>
  <c r="C30" i="39"/>
  <c r="C22" i="22"/>
  <c r="C38" i="39"/>
  <c r="C22" i="23"/>
  <c r="E30" i="39"/>
  <c r="C23" i="22"/>
  <c r="E38" i="39"/>
  <c r="C23" i="23"/>
  <c r="E22" i="39"/>
  <c r="C23" i="15"/>
  <c r="C22" i="39"/>
  <c r="C22" i="15"/>
  <c r="E14" i="39"/>
  <c r="C27" i="2"/>
  <c r="C26" i="2"/>
  <c r="C24" i="23"/>
  <c r="C24" i="22"/>
  <c r="C24" i="15"/>
  <c r="C28" i="2"/>
  <c r="G6" i="36"/>
  <c r="G10" i="36"/>
  <c r="G13" i="36"/>
  <c r="G12" i="30"/>
  <c r="G17" i="36"/>
  <c r="G19" i="36"/>
  <c r="G16" i="30"/>
  <c r="G20" i="30"/>
  <c r="G23" i="36"/>
  <c r="G25" i="36"/>
  <c r="G22" i="30"/>
  <c r="G29" i="36"/>
  <c r="E19" i="27"/>
  <c r="G26" i="30"/>
  <c r="C10" i="37"/>
  <c r="C12" i="37"/>
  <c r="C13" i="37"/>
  <c r="C10" i="2"/>
  <c r="E11" i="21"/>
  <c r="E12" i="21"/>
  <c r="C11" i="21"/>
  <c r="C12" i="21"/>
  <c r="E11" i="29"/>
  <c r="E12" i="29"/>
  <c r="C11" i="29"/>
  <c r="C12" i="29"/>
  <c r="C14" i="19"/>
  <c r="C18" i="23"/>
  <c r="C18" i="15"/>
  <c r="C18" i="22"/>
  <c r="C15" i="2"/>
  <c r="C14" i="2"/>
  <c r="C22" i="2"/>
  <c r="C12" i="2"/>
  <c r="G33" i="30"/>
  <c r="C13" i="2"/>
  <c r="G28" i="30"/>
  <c r="E18" i="27"/>
  <c r="E20" i="27"/>
  <c r="E35" i="27"/>
  <c r="C9" i="2"/>
  <c r="G32" i="30"/>
  <c r="E10" i="37"/>
  <c r="E12" i="37"/>
  <c r="E13" i="37"/>
  <c r="C11" i="2"/>
  <c r="G34" i="30"/>
  <c r="G38" i="30"/>
  <c r="G40" i="30"/>
  <c r="C18" i="2"/>
  <c r="C16" i="2"/>
  <c r="C17" i="2"/>
  <c r="G30" i="36"/>
  <c r="C19" i="2"/>
  <c r="G44" i="30"/>
  <c r="C14" i="15"/>
  <c r="C20" i="2"/>
  <c r="C33" i="2"/>
  <c r="C9" i="15"/>
  <c r="C12" i="15"/>
  <c r="G46" i="30"/>
  <c r="G52" i="30"/>
  <c r="G54" i="30"/>
  <c r="C14" i="23"/>
  <c r="C14" i="22"/>
  <c r="G37" i="36"/>
  <c r="C13" i="15"/>
  <c r="G41" i="36"/>
  <c r="G43" i="36"/>
  <c r="C15" i="15"/>
  <c r="C16" i="15"/>
  <c r="G47" i="36"/>
  <c r="G49" i="36"/>
  <c r="C15" i="23"/>
  <c r="C15" i="22"/>
  <c r="C27" i="15"/>
  <c r="C9" i="22"/>
  <c r="C12" i="22"/>
  <c r="C13" i="22"/>
  <c r="C16" i="22"/>
  <c r="C9" i="23"/>
  <c r="C12" i="23"/>
  <c r="C13" i="23"/>
  <c r="C16" i="23"/>
  <c r="C25" i="23"/>
</calcChain>
</file>

<file path=xl/sharedStrings.xml><?xml version="1.0" encoding="utf-8"?>
<sst xmlns="http://schemas.openxmlformats.org/spreadsheetml/2006/main" count="703" uniqueCount="285">
  <si>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</si>
  <si>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</si>
  <si>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</si>
  <si>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</si>
  <si>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</si>
  <si>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</si>
  <si>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</si>
  <si>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</si>
  <si>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</si>
  <si>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Fane 9</t>
  </si>
  <si>
    <t>Individuelt effektiviseringskrav</t>
  </si>
  <si>
    <t>Anskaf-felsespris (kr.)</t>
  </si>
  <si>
    <t>Driftsomkostninger</t>
  </si>
  <si>
    <t>Ikke-påvirkelige omkostninger</t>
  </si>
  <si>
    <t>Oversigt over den økonomiske ramme</t>
  </si>
  <si>
    <t>Prisudvikling</t>
  </si>
  <si>
    <t>Fane 12</t>
  </si>
  <si>
    <t>Fane 2.2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</si>
  <si>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</si>
  <si>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</si>
  <si>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</si>
  <si>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</si>
  <si>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</si>
  <si>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</si>
  <si>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ØR2019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</si>
  <si>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</si>
  <si>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</si>
  <si>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</si>
  <si>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</si>
  <si>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</si>
  <si>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</si>
  <si>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</si>
  <si>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</si>
  <si>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Tidligere tilknyttet aktivitet - Anlæg</t>
  </si>
  <si>
    <t>Tidligere tilknyttet aktivitet - Drift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</si>
  <si>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</si>
  <si>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</si>
  <si>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</si>
  <si>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</si>
  <si>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</si>
  <si>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</si>
  <si>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Fane 2.3</t>
  </si>
  <si>
    <t>Fane 2.4</t>
  </si>
  <si>
    <t>Samlet økonomisk ramme for 2021</t>
  </si>
  <si>
    <t>Anlægsprojekter</t>
  </si>
  <si>
    <t>Bortfald</t>
  </si>
  <si>
    <t>Fane 13</t>
  </si>
  <si>
    <t>Fane 14</t>
  </si>
  <si>
    <t>Nye tillæg - Drift</t>
  </si>
  <si>
    <t>Nye tillæg - Anlæg</t>
  </si>
  <si>
    <t>Nye tillæg i alt i 2019-prisniveau</t>
  </si>
  <si>
    <t>Bortfald eller nedsættelse i alt i 2019-prisniveau</t>
  </si>
  <si>
    <t>Kontrol med overholdelse af den økonomiske ramme for 2018</t>
  </si>
  <si>
    <t>Indtægtsramme i den økonomiske ramme for 2018</t>
  </si>
  <si>
    <t>Faktiske indtægter i 2018</t>
  </si>
  <si>
    <t>Difference (2018-prisniveau)</t>
  </si>
  <si>
    <t>Driftsomkostninger i grundlaget til de økonomiske rammer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</si>
  <si>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</si>
  <si>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</si>
  <si>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</si>
  <si>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</si>
  <si>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</si>
  <si>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</si>
  <si>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</si>
  <si>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</si>
  <si>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</si>
  <si>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</si>
  <si>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2017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</si>
  <si>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</si>
  <si>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</si>
  <si>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</si>
  <si>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anlægsomkostninger i de økonomiske rammer for 2017</t>
  </si>
  <si>
    <t>Generelt effektiviseringskrav til anlægsomkostningerne i ØR17</t>
  </si>
  <si>
    <t>Generelt effektiviseringskrav til driftsomkostninger i de økonomiske rammer for 2021</t>
  </si>
  <si>
    <t>Base for driftsomkostninger til de økonomiske rammer for 2021</t>
  </si>
  <si>
    <t>Generelt effektiviseringskrav til driftsomkostningerne i ØR21</t>
  </si>
  <si>
    <t>Vejledende generelt effektiviseringskrav til driftsomkostningerne i ØR22</t>
  </si>
  <si>
    <t>Vejledende generelt effektiviseringskrav til driftsomkostningerne i ØR23</t>
  </si>
  <si>
    <t>Anlægssomkostninger i grundlaget til de økonomiske rammer for 2017</t>
  </si>
  <si>
    <t>Generelt effektiviseringskrav til anlægsomkostninger i de økonomiske rammer for 2018</t>
  </si>
  <si>
    <t>Base for anlægsomkostninger til de økonomiske rammer for 2018</t>
  </si>
  <si>
    <t>Nye anlægsomkostninger til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</si>
  <si>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</si>
  <si>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</si>
  <si>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</si>
  <si>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</si>
  <si>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</si>
  <si>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Generelt effektiviseringskrav til anlægsomkostninger i de økonomiske rammer for 2020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</si>
  <si>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</si>
  <si>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</si>
  <si>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</si>
  <si>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Generelt effektiviseringskrav til anlægsomkostninger i de økonomiske rammer for 2021</t>
  </si>
  <si>
    <t>Base for anlægsomkostninger til de økonomiske rammer for 2021</t>
  </si>
  <si>
    <t>Generelt effektiviseringskrav til anlægsomkostningerne i ØR21</t>
  </si>
  <si>
    <t>Vejledende generelt effektiviseringskrav til anlægsomkostningerne i ØR22</t>
  </si>
  <si>
    <t>Vejledende generelt effektiviseringskrav til anlægsomkostningerne i ØR23</t>
  </si>
  <si>
    <t>Base for anlægsomkostninger til de vejledende økonomiske rammer for 2023</t>
  </si>
  <si>
    <t>Base for anlægsomkostninger til de vejledende økonomiske rammer for 2022</t>
  </si>
  <si>
    <t>Base for driftsomkostninger til de vejledende økonomiske rammer for 2023</t>
  </si>
  <si>
    <t>Base for driftsomkostninger til de vejledende økonomiske rammer for 2022</t>
  </si>
  <si>
    <t>Generelt effektiviseringskrav til driftsomkostninger i de vejledende økonomiske rammer for 2022</t>
  </si>
  <si>
    <t>Generelt effektiviseringskrav til driftsomkostninger i de vejledende økonomiske rammer for 2023</t>
  </si>
  <si>
    <t>Generelt effektiviseringskrav til anlægsomkostninger i de vejledende økonomiske rammer for 2022</t>
  </si>
  <si>
    <t>Generelt effektiviseringskrav til anlægsomkostninger i de vejledende økonomiske rammer for 2023</t>
  </si>
  <si>
    <t>Individuelt effektiviseringskrav til de økonomiske rammer for 2017</t>
  </si>
  <si>
    <t>Individuelt effektiviseringskrav til de økonomiske rammer for 2018-2019</t>
  </si>
  <si>
    <t>Individuelt effektiviseringskrav til de økonomiske rammer for 2020-2021</t>
  </si>
  <si>
    <t>Vejledende økonomisk ramme for 2023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</si>
  <si>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</si>
  <si>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</si>
  <si>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</si>
  <si>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</si>
  <si>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</si>
  <si>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</si>
  <si>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Periodevise driftsomkostninger</t>
  </si>
  <si>
    <t>Engangstillæg i alt</t>
  </si>
  <si>
    <t>Fane 5: Individuelt effektiviseringskrav</t>
  </si>
  <si>
    <t>Bortfald af driftsomkostninger i de økonomiske rammer for 2022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</si>
  <si>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</si>
  <si>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</si>
  <si>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</si>
  <si>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</si>
  <si>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2022</t>
  </si>
  <si>
    <t>Bortfald af anlægsomkostninger i de økonomiske rammer for 2023</t>
  </si>
  <si>
    <t>Økonomisk ramme for 2023</t>
  </si>
  <si>
    <t>Periodevise driftsomkostninger til de økonomiske rammer for 2021</t>
  </si>
  <si>
    <t>Periodevise driftsomkostninger til de økonomiske rammer for 2022</t>
  </si>
  <si>
    <t>Periodevise driftsomkostninger til de økonomiske rammer for 2023</t>
  </si>
  <si>
    <t>Periodevise driftsomkostninger i alt i 2021-prisniveau</t>
  </si>
  <si>
    <t>Periodevise driftsomkostninger i alt i 2022-prisniveau</t>
  </si>
  <si>
    <t>Periodevise driftsomkostninger i alt i 2023-prisniveau</t>
  </si>
  <si>
    <t>Bortfald eller nedsættelse fra og med de økonomiske rammer for 2022</t>
  </si>
  <si>
    <t>Bortfald eller nedsættelse fra og med de økonomiske rammer for 2021</t>
  </si>
  <si>
    <t>Bortfald eller nedsættelse fra og med de økonomiske rammer for 2023</t>
  </si>
  <si>
    <t>Korrektion af tidligere godkendte omkostninger til medfinansiering af klimatilpasningsprojekter</t>
  </si>
  <si>
    <t>Generelt effektiviseringskrav på drift</t>
  </si>
  <si>
    <t>Generelt effektiviseringskrav på anlæg</t>
  </si>
  <si>
    <t>Kontrol med overholdelse af den økonomiske ramme for 2017</t>
  </si>
  <si>
    <t>Indtægtsramme i den økonomiske ramme for 2017</t>
  </si>
  <si>
    <t>Faktiske indtægter i 2017</t>
  </si>
  <si>
    <t>Difference (2017-prisniveau)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</si>
  <si>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</si>
  <si>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</si>
  <si>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</si>
  <si>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2021-prisniveau</t>
  </si>
  <si>
    <t>Generelt effektiviseringskrav</t>
  </si>
  <si>
    <t>Tillæg til tilbagebetaling af vejbidrag</t>
  </si>
  <si>
    <t>Tillæg til den økonomiske ramme for 2021</t>
  </si>
  <si>
    <t>Tillæg til den økonomiske ramme for 2022</t>
  </si>
  <si>
    <t>Tillæg til den økonomiske ramme for 2023</t>
  </si>
  <si>
    <t>Samlede tillæg til periodevise driftsomkostninger jf. indmeldte oprensningsplan</t>
  </si>
  <si>
    <t>Difference (Korrektion)</t>
  </si>
  <si>
    <t>Antal år i næste reguleringsperiode</t>
  </si>
  <si>
    <t>Generelt effektiviseringskrav til anlægsomkostningerne</t>
  </si>
  <si>
    <t>Generelt effektiviseringskrav til driftsomkostningerne</t>
  </si>
  <si>
    <t>Nøgletal</t>
  </si>
  <si>
    <t xml:space="preserve">Note: Denne opgørelse er taget fra jeres statusmeddelelse for den økonomiske ramme for 2019. I kan derfor ikke komme med høringssvar til denne opgørelse. </t>
  </si>
  <si>
    <t>Fane 4.1</t>
  </si>
  <si>
    <t>Fane 4.2</t>
  </si>
  <si>
    <t>Fane 6</t>
  </si>
  <si>
    <t>Fane 10.1</t>
  </si>
  <si>
    <t>Fane 10.2</t>
  </si>
  <si>
    <t>Fane 11</t>
  </si>
  <si>
    <t>Fane 4.1: Generelt effektiviseringskrav til driftsomkostningerne</t>
  </si>
  <si>
    <t>Fane 4.2: Generelt effektiviseringskrav til anlægsomkostningerne</t>
  </si>
  <si>
    <t>Fane 6: Ikke-påvirkelige omkostninger</t>
  </si>
  <si>
    <t>Fane 13: Bortfald eller nedsættelse af omkostninger til mål, medfinansiering eller udvidelse</t>
  </si>
  <si>
    <t>Fane 10.2: Engangstillæg</t>
  </si>
  <si>
    <t>Fane 10.1: Varige tillæg</t>
  </si>
  <si>
    <t>Fane 11: Periodevise driftsomkostninger givet under prisloftsbekendtgørelsen</t>
  </si>
  <si>
    <t>Prisudvikling til brug for ØR2017</t>
  </si>
  <si>
    <t>Prisudvikling til brug for ØR2018-2019</t>
  </si>
  <si>
    <t>Prisudvikling til brug for ØR2020-2021</t>
  </si>
  <si>
    <t>Generelt effektiviseringskrav til brug for anlægsomkostninger i ØR2017</t>
  </si>
  <si>
    <t>Generelt effektiviseringskrav til brug for anlægsomkostninger i ØR2018-2019</t>
  </si>
  <si>
    <t>Generelt effektiviseringskrav til brug for nye anlægsomkostninger i ØR2019</t>
  </si>
  <si>
    <t>Generelt effektiviseringskrav til brug for anlægsomkostninger i ØR2020-2021</t>
  </si>
  <si>
    <t>Generelt effektiviseringskrav til brug for driftsomkostninger</t>
  </si>
  <si>
    <t>Tillæg til medfinansieringsprojekter godkendt under prisloftsbekendtgørelsen</t>
  </si>
  <si>
    <t>Periodevise driftsomkostninger i den økonomiske ramme for 2018</t>
  </si>
  <si>
    <t>Fane 3</t>
  </si>
  <si>
    <t>Periodevise driftsomkostninger i den økonomiske ramme for 2017</t>
  </si>
  <si>
    <t>Korrektion af driftsomkostninger i grundlaget</t>
  </si>
  <si>
    <t>Korrektion af anlægsomkostninger i grundlaget</t>
  </si>
  <si>
    <t>Korrektion af den økonomiske ramme for 2019</t>
  </si>
  <si>
    <t>Fane 2.1: Samlet økonomisk ramme for 2021</t>
  </si>
  <si>
    <t>Tidligere tilknyttet virksomhed - Drift</t>
  </si>
  <si>
    <t>Tidligere tilknyttet virksomhed - Anlæg</t>
  </si>
  <si>
    <t>Fane 2.2: Samlet økonomisk ramme for 2022</t>
  </si>
  <si>
    <t>Fane 2.3: Samlet økonomisk ramme for 2023</t>
  </si>
  <si>
    <t>Videreførte omkostninger fra den økonomiske ramme for 2022</t>
  </si>
  <si>
    <t>Fane 2.4: Samlet økonomisk ramme for 2024</t>
  </si>
  <si>
    <t>Videreførte omkostninger fra den økonomiske ramme for 2023</t>
  </si>
  <si>
    <t>Økonomisk ramme for 2024</t>
  </si>
  <si>
    <t>Fane 3: Videreførte omkostninger fra den økonomiske ramme for 2020</t>
  </si>
  <si>
    <t>Oversigt over den økonomiske ramme for 2020</t>
  </si>
  <si>
    <t>Faktiske ikke-påvirkelige omkostninger i 2019</t>
  </si>
  <si>
    <t>Faktiske omkostninger i 2019</t>
  </si>
  <si>
    <t>Ikke-påvirkelige omkostninger i 2019-prisniveau</t>
  </si>
  <si>
    <t>Ikke-påvirkelige omkostninger i 2021-prisniveau</t>
  </si>
  <si>
    <t>Tillæg til den økonomiske ramme for 2024</t>
  </si>
  <si>
    <t>Fane 8: Korrektioner af den økonomiske ramme for 2019</t>
  </si>
  <si>
    <t>Korrektion af periodevise driftsomkostninger i de økonomiske rammer for 2019</t>
  </si>
  <si>
    <t>Faktisk periodevis driftsomkostning i 2019</t>
  </si>
  <si>
    <t>Tidligere godkendt tillæg indregnet i den økonomiske ramme for 2019</t>
  </si>
  <si>
    <t>Faktisk omkostning til medfinansiering af klimatilpasningsprojekter i 2019</t>
  </si>
  <si>
    <t>Korrektioner af den økonomiske ramme for 2019 i alt</t>
  </si>
  <si>
    <t>Periodevise driftsomkostninger i alt i 2019-prisniveau</t>
  </si>
  <si>
    <t>Periodevise driftsomkostninger til de økonomiske rammer for 2024</t>
  </si>
  <si>
    <t>Periodevise driftsomkostninger i alt i 2024-prisniveau</t>
  </si>
  <si>
    <t>Fane 12: Tilknyttet virksomhed under hovedvirksomheden</t>
  </si>
  <si>
    <t>Tilknyttet virksomhed under hovedvirksomheden</t>
  </si>
  <si>
    <t>Beskrivelse af tilknyttet virksomhed</t>
  </si>
  <si>
    <t>Tilknyttet virksomhed under hovedvirksomheden i alt (2019-prisniveau)</t>
  </si>
  <si>
    <t>Vejledende økonomisk ramme for 2024</t>
  </si>
  <si>
    <t>Omkostninger i ØR2020</t>
  </si>
  <si>
    <t>Tilknyttet virksomhed</t>
  </si>
  <si>
    <t>Prisudvikling til brug for nye omkostninger i ØR2021</t>
  </si>
  <si>
    <t xml:space="preserve">Note: Denne opgørelse er taget fra jeres statusmeddelelse for den økonomiske ramme for 2020. I kan derfor ikke komme med høringssvar til denne opgørelse. </t>
  </si>
  <si>
    <t>Nye tillæg i alt i 2020-prisniveau</t>
  </si>
  <si>
    <t>Engangstillæg i alt i 2019-prisniveau</t>
  </si>
  <si>
    <t>Engangstillæg i alt i 2022-prisniveau</t>
  </si>
  <si>
    <t>Engangstillæg i alt i 2023-prisniveau</t>
  </si>
  <si>
    <t>Engangstillæg til de økonomiske rammer for 2024</t>
  </si>
  <si>
    <t>Engangstillæg i alt i 2024-prisniveau</t>
  </si>
  <si>
    <t>Tilknyttet virksomhed under hovedvirksomheden i alt (2020-prisniveau)</t>
  </si>
  <si>
    <t>Til statusmeddelelse for 2021</t>
  </si>
  <si>
    <t>Bortfald eller nedsættelse fra og med de økonomiske rammer for 2024</t>
  </si>
  <si>
    <t>Bortfald eller nedsættelse i alt i 2023-prisniveau</t>
  </si>
  <si>
    <t>Generelt effektiviseringskrav til brug for anlægsomkostninger i ØR2021-2022</t>
  </si>
  <si>
    <t>Nye driftsomkostninger til de økonomiske rammer for 2021</t>
  </si>
  <si>
    <t>Generelt effektiviseringskrav til driftsomkostninger i de vejledende økonomiske rammer for 2024</t>
  </si>
  <si>
    <t>Base for driftsomkostninger til de vejledende økonomiske rammer for 2024</t>
  </si>
  <si>
    <t>Bortfald af driftsomkostninger i de økonomiske rammer for 2024</t>
  </si>
  <si>
    <t>Vejledende generelt effektiviseringskrav til driftsomkostningerne i ØR24</t>
  </si>
  <si>
    <t>Nye anlægsomkostninger til de økonomiske rammer for 2021</t>
  </si>
  <si>
    <t>Fane 9: Anlægsprojekter igangsat senest den 1. marts 2016</t>
  </si>
  <si>
    <t>Anlægsprojekter igangsat senest den 1. marts 2016</t>
  </si>
  <si>
    <t>Anlægsprojekter igangsat senest den 1. marts 2016 i alt</t>
  </si>
  <si>
    <t>Anlægsprojekter igangsat senest 1. marts 2016</t>
  </si>
  <si>
    <t>Generelt effektiviseringskrav til anlægsomkostninger i de vejledende økonomiske rammer for 2024</t>
  </si>
  <si>
    <t>Base for anlægsomkostninger til de vejledende økonomiske rammer for 2024</t>
  </si>
  <si>
    <t>Bortfald af anlægsomkostninger i de økonomiske rammer for 2024</t>
  </si>
  <si>
    <t>Vejledende generelt effektiviseringskrav til anlægsomkostningerne i ØR24</t>
  </si>
  <si>
    <t>Fradrag for kontrol af den økonomiske ramme</t>
  </si>
  <si>
    <t>Kontrol med overholdelse af den økonomiske ramme for 2019</t>
  </si>
  <si>
    <t>Indtægtsramme i den økonomiske ramme for 2019</t>
  </si>
  <si>
    <t>Faktiske indtægter i 2019</t>
  </si>
  <si>
    <t>Difference (2019-prisniveau)</t>
  </si>
  <si>
    <t>Til indregning i de økonomiske rammer for 2022-2023</t>
  </si>
  <si>
    <t>Til indregning i den økonomiske ramme for 2021</t>
  </si>
  <si>
    <t>Tillæg/fradrag i den økonomiske ramme for 2021</t>
  </si>
  <si>
    <t>Kontrol med overholdelse af økonomiske rammer</t>
  </si>
  <si>
    <t>Kontrol med de økonomiske rammer til indregning</t>
  </si>
  <si>
    <t>Vejledendeøkonomisk ramme for 2022</t>
  </si>
  <si>
    <t>Kontrol af den økonomiske ramme for 2019</t>
  </si>
  <si>
    <t>Fane 7: Kontrol med overholdelse af den økonomiske ramme for 2019</t>
  </si>
  <si>
    <t>Fane 14: Nøgletal</t>
  </si>
  <si>
    <t xml:space="preserve">Note: Beregningerne af jeres individuelle effektiviseringskrav er taget fra jeres afgørelse til den økonomiske ramme for henholdsvis 2017, 2018-2019 og 2020-21. I kan derfor ikke komme med høringssvar til denne opgørelse. </t>
  </si>
  <si>
    <t>Historisk over- eller underdækning</t>
  </si>
  <si>
    <t>Tillæg/fradrag for historisk over- eller underdækning</t>
  </si>
  <si>
    <t>Kontrol med overholdelse af indtægtsrammer</t>
  </si>
  <si>
    <t>Fradrag for kontrol af den økonomiske ramme for 2018</t>
  </si>
  <si>
    <t>Korrektion af den økonomiske ramme for 2018</t>
  </si>
  <si>
    <t>Tillæg/fradrag for korrektion af den økonomiske ramme for 2018</t>
  </si>
  <si>
    <t>Afgift til Forsyningssekretariatet</t>
  </si>
  <si>
    <t>Køb af ydelser og produkter fra andre vandselskaber reguleret af vandsektorloven</t>
  </si>
  <si>
    <t>Ejendomsskatter</t>
  </si>
  <si>
    <t>Ingen tilknyttet virksomhed</t>
  </si>
  <si>
    <t>Ingen bortfald eller nedsættelse</t>
  </si>
  <si>
    <t>Nye periodevise driftsomkostninger</t>
  </si>
  <si>
    <t>Ingen engangstillæg</t>
  </si>
  <si>
    <t>Ø 500 mm &lt; Ledningsnet ≤ Ø 800 mm</t>
  </si>
  <si>
    <t>75</t>
  </si>
  <si>
    <t>Andre bygninger (tekniske installationer, målere mv.)</t>
  </si>
  <si>
    <t>Indløb-/udløbsarrangement</t>
  </si>
  <si>
    <t>Brønde</t>
  </si>
  <si>
    <t>Installationer "mekaniske riste og SRO" Miljøklasse A. (7-20 m2) - SRO</t>
  </si>
  <si>
    <t>10</t>
  </si>
  <si>
    <t>Jordbassin Klasse A</t>
  </si>
  <si>
    <t>50</t>
  </si>
  <si>
    <t xml:space="preserve">Udvikling - Masterplanner Harrestrup Å </t>
  </si>
  <si>
    <t>Yderligere opkrævningsret efter § 17, stk. 10 - 2017</t>
  </si>
  <si>
    <t>Yderligere opkrævningsret efter § 17, stk. 10 - 2018</t>
  </si>
  <si>
    <t>Periodevise driftsomkostninger i alt i 2018-prisniveau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</si>
</sst>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</cellStyleXfs>
  <cellXfs count="118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8" borderId="1" xfId="0" applyNumberFormat="1" applyFont="1" applyFill="1" applyBorder="1" applyAlignment="1" applyProtection="1">
      <alignment wrapText="1"/>
    </xf>
    <xf numFmtId="0" fontId="8" fillId="8" borderId="1" xfId="0" applyFont="1" applyFill="1" applyBorder="1" applyAlignment="1" applyProtection="1">
      <alignment wrapText="1"/>
    </xf>
    <xf numFmtId="3" fontId="8" fillId="8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8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8" borderId="1" xfId="0" applyNumberFormat="1" applyFont="1" applyFill="1" applyBorder="1" applyAlignment="1" applyProtection="1"/>
    <xf numFmtId="10" fontId="8" fillId="8" borderId="1" xfId="4" applyNumberFormat="1" applyFont="1" applyFill="1" applyBorder="1" applyProtection="1"/>
    <xf numFmtId="165" fontId="8" fillId="8" borderId="1" xfId="1" applyNumberFormat="1" applyFont="1" applyFill="1" applyBorder="1" applyProtection="1"/>
    <xf numFmtId="49" fontId="8" fillId="8" borderId="2" xfId="0" applyNumberFormat="1" applyFont="1" applyFill="1" applyBorder="1" applyAlignment="1" applyProtection="1"/>
    <xf numFmtId="10" fontId="8" fillId="8" borderId="1" xfId="4" applyNumberFormat="1" applyFont="1" applyFill="1" applyBorder="1" applyAlignment="1" applyProtection="1"/>
    <xf numFmtId="0" fontId="15" fillId="0" borderId="2" xfId="0" applyFont="1" applyFill="1" applyBorder="1" applyAlignment="1" applyProtection="1"/>
    <xf numFmtId="3" fontId="15" fillId="0" borderId="1" xfId="0" applyNumberFormat="1" applyFont="1" applyFill="1" applyBorder="1" applyProtection="1"/>
    <xf numFmtId="0" fontId="15" fillId="0" borderId="1" xfId="0" applyFont="1" applyFill="1" applyBorder="1" applyProtection="1"/>
    <xf numFmtId="0" fontId="8" fillId="8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8" borderId="2" xfId="0" applyFont="1" applyFill="1" applyBorder="1" applyAlignment="1" applyProtection="1">
      <alignment wrapText="1"/>
    </xf>
    <xf numFmtId="3" fontId="7" fillId="3" borderId="2" xfId="0" applyNumberFormat="1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8" fillId="8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0" fontId="0" fillId="0" borderId="0" xfId="0" applyFill="1" applyProtection="1"/>
    <xf numFmtId="0" fontId="2" fillId="2" borderId="0" xfId="0" applyFont="1" applyFill="1" applyAlignment="1" applyProtection="1">
      <alignment vertical="center" wrapText="1"/>
    </xf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3" fontId="8" fillId="4" borderId="2" xfId="0" applyNumberFormat="1" applyFont="1" applyFill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14" fillId="2" borderId="0" xfId="0" applyFont="1" applyFill="1" applyAlignment="1" applyProtection="1">
      <alignment horizontal="center"/>
    </xf>
    <xf numFmtId="0" fontId="8" fillId="8" borderId="2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left" wrapText="1"/>
    </xf>
    <xf numFmtId="0" fontId="8" fillId="8" borderId="2" xfId="0" applyFont="1" applyFill="1" applyBorder="1" applyAlignment="1" applyProtection="1"/>
    <xf numFmtId="0" fontId="8" fillId="4" borderId="3" xfId="0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2" fillId="6" borderId="4" xfId="2" applyFont="1" applyFill="1" applyBorder="1" applyAlignment="1" applyProtection="1">
      <alignment horizontal="center"/>
    </xf>
    <xf numFmtId="0" fontId="12" fillId="6" borderId="0" xfId="2" applyFont="1" applyFill="1" applyBorder="1" applyAlignment="1" applyProtection="1">
      <alignment horizontal="center"/>
    </xf>
    <xf numFmtId="0" fontId="12" fillId="6" borderId="5" xfId="2" applyFont="1" applyFill="1" applyBorder="1" applyAlignment="1" applyProtection="1">
      <alignment horizontal="center"/>
    </xf>
    <xf numFmtId="0" fontId="1" fillId="7" borderId="4" xfId="2" applyFont="1" applyFill="1" applyBorder="1" applyAlignment="1" applyProtection="1">
      <alignment horizontal="center"/>
    </xf>
    <xf numFmtId="0" fontId="1" fillId="7" borderId="0" xfId="2" applyFont="1" applyFill="1" applyBorder="1" applyAlignment="1" applyProtection="1">
      <alignment horizontal="center"/>
    </xf>
    <xf numFmtId="0" fontId="1" fillId="7" borderId="5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1" fillId="9" borderId="4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5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/>
    </xf>
    <xf numFmtId="0" fontId="8" fillId="8" borderId="2" xfId="0" applyFont="1" applyFill="1" applyBorder="1" applyAlignment="1" applyProtection="1">
      <alignment horizontal="left" wrapText="1"/>
    </xf>
    <xf numFmtId="0" fontId="8" fillId="8" borderId="6" xfId="0" applyFont="1" applyFill="1" applyBorder="1" applyAlignment="1" applyProtection="1">
      <alignment horizontal="left" wrapText="1"/>
    </xf>
    <xf numFmtId="0" fontId="8" fillId="8" borderId="3" xfId="0" applyFont="1" applyFill="1" applyBorder="1" applyAlignment="1" applyProtection="1">
      <alignment horizontal="left" wrapText="1"/>
    </xf>
    <xf numFmtId="0" fontId="8" fillId="8" borderId="2" xfId="0" quotePrefix="1" applyFont="1" applyFill="1" applyBorder="1" applyAlignment="1" applyProtection="1">
      <alignment horizontal="left" wrapText="1"/>
    </xf>
    <xf numFmtId="0" fontId="8" fillId="8" borderId="6" xfId="0" quotePrefix="1" applyFont="1" applyFill="1" applyBorder="1" applyAlignment="1" applyProtection="1">
      <alignment horizontal="left" wrapText="1"/>
    </xf>
    <xf numFmtId="0" fontId="8" fillId="8" borderId="3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/>
    <xf numFmtId="0" fontId="8" fillId="8" borderId="6" xfId="0" applyFont="1" applyFill="1" applyBorder="1" applyAlignment="1" applyProtection="1"/>
    <xf numFmtId="0" fontId="8" fillId="8" borderId="3" xfId="0" applyFont="1" applyFill="1" applyBorder="1" applyAlignment="1" applyProtection="1"/>
    <xf numFmtId="0" fontId="2" fillId="2" borderId="0" xfId="0" applyFont="1" applyFill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8" fillId="4" borderId="3" xfId="0" applyFont="1" applyFill="1" applyBorder="1" applyAlignment="1" applyProtection="1">
      <alignment horizontal="left"/>
    </xf>
    <xf numFmtId="0" fontId="8" fillId="8" borderId="2" xfId="0" quotePrefix="1" applyFont="1" applyFill="1" applyBorder="1" applyAlignment="1" applyProtection="1">
      <alignment horizontal="left"/>
    </xf>
    <xf numFmtId="0" fontId="8" fillId="8" borderId="6" xfId="0" quotePrefix="1" applyFont="1" applyFill="1" applyBorder="1" applyAlignment="1" applyProtection="1">
      <alignment horizontal="left"/>
    </xf>
    <xf numFmtId="0" fontId="8" fillId="8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49" fontId="8" fillId="8" borderId="6" xfId="0" applyNumberFormat="1" applyFont="1" applyFill="1" applyBorder="1" applyAlignment="1" applyProtection="1">
      <alignment horizontal="left" wrapText="1"/>
    </xf>
    <xf numFmtId="49" fontId="8" fillId="8" borderId="3" xfId="0" applyNumberFormat="1" applyFont="1" applyFill="1" applyBorder="1" applyAlignment="1" applyProtection="1">
      <alignment horizontal="left" wrapText="1"/>
    </xf>
    <xf numFmtId="0" fontId="8" fillId="8" borderId="1" xfId="1" applyNumberFormat="1" applyFont="1" applyFill="1" applyBorder="1" applyProtection="1"/>
    <xf numFmtId="1" fontId="8" fillId="0" borderId="1" xfId="0" applyNumberFormat="1" applyFont="1" applyFill="1" applyBorder="1" applyProtection="1"/>
    <xf numFmtId="1" fontId="8" fillId="0" borderId="1" xfId="0" applyNumberFormat="1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50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62" t="s">
        <v>4</v>
      </c>
      <c r="E6" s="62"/>
      <c r="F6" s="62"/>
      <c r="G6" s="62"/>
      <c r="H6" s="3"/>
      <c r="I6" s="1"/>
    </row>
    <row r="7" spans="1:9" ht="15" customHeight="1" x14ac:dyDescent="0.25">
      <c r="A7" s="1"/>
      <c r="B7" s="1"/>
      <c r="C7" s="3"/>
      <c r="D7" s="62"/>
      <c r="E7" s="62"/>
      <c r="F7" s="62"/>
      <c r="G7" s="62"/>
      <c r="H7" s="3"/>
      <c r="I7" s="1"/>
    </row>
    <row r="8" spans="1:9" ht="15.75" x14ac:dyDescent="0.25">
      <c r="A8" s="1"/>
      <c r="B8" s="1"/>
      <c r="C8" s="4"/>
      <c r="D8" s="70" t="s">
        <v>226</v>
      </c>
      <c r="E8" s="70"/>
      <c r="F8" s="70"/>
      <c r="G8" s="70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69" t="s">
        <v>5</v>
      </c>
      <c r="E11" s="69"/>
      <c r="F11" s="69"/>
      <c r="G11" s="69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59" t="s">
        <v>43</v>
      </c>
      <c r="E13" s="60"/>
      <c r="F13" s="60"/>
      <c r="G13" s="61"/>
      <c r="H13" s="1"/>
      <c r="I13" s="1"/>
    </row>
    <row r="14" spans="1:9" x14ac:dyDescent="0.25">
      <c r="A14" s="1"/>
      <c r="B14" s="1"/>
      <c r="C14" s="6" t="s">
        <v>17</v>
      </c>
      <c r="D14" s="59" t="s">
        <v>254</v>
      </c>
      <c r="E14" s="60"/>
      <c r="F14" s="60"/>
      <c r="G14" s="61"/>
      <c r="H14" s="1"/>
      <c r="I14" s="1"/>
    </row>
    <row r="15" spans="1:9" x14ac:dyDescent="0.25">
      <c r="A15" s="1"/>
      <c r="B15" s="1"/>
      <c r="C15" s="6" t="s">
        <v>41</v>
      </c>
      <c r="D15" s="59" t="s">
        <v>107</v>
      </c>
      <c r="E15" s="60"/>
      <c r="F15" s="60"/>
      <c r="G15" s="61"/>
      <c r="H15" s="1"/>
      <c r="I15" s="1"/>
    </row>
    <row r="16" spans="1:9" x14ac:dyDescent="0.25">
      <c r="A16" s="1"/>
      <c r="B16" s="1"/>
      <c r="C16" s="6" t="s">
        <v>42</v>
      </c>
      <c r="D16" s="59" t="s">
        <v>214</v>
      </c>
      <c r="E16" s="60"/>
      <c r="F16" s="60"/>
      <c r="G16" s="61"/>
      <c r="H16" s="1"/>
      <c r="I16" s="1"/>
    </row>
    <row r="17" spans="1:9" x14ac:dyDescent="0.25">
      <c r="A17" s="1"/>
      <c r="B17" s="1"/>
      <c r="C17" s="6" t="s">
        <v>180</v>
      </c>
      <c r="D17" s="59" t="s">
        <v>215</v>
      </c>
      <c r="E17" s="60"/>
      <c r="F17" s="60"/>
      <c r="G17" s="61"/>
      <c r="H17" s="1"/>
      <c r="I17" s="1"/>
    </row>
    <row r="18" spans="1:9" x14ac:dyDescent="0.25">
      <c r="A18" s="1"/>
      <c r="B18" s="1"/>
      <c r="C18" s="6" t="s">
        <v>157</v>
      </c>
      <c r="D18" s="71" t="s">
        <v>135</v>
      </c>
      <c r="E18" s="72"/>
      <c r="F18" s="72"/>
      <c r="G18" s="73"/>
      <c r="H18" s="1"/>
      <c r="I18" s="1"/>
    </row>
    <row r="19" spans="1:9" x14ac:dyDescent="0.25">
      <c r="A19" s="1"/>
      <c r="B19" s="1"/>
      <c r="C19" s="6" t="s">
        <v>158</v>
      </c>
      <c r="D19" s="71" t="s">
        <v>136</v>
      </c>
      <c r="E19" s="72"/>
      <c r="F19" s="72"/>
      <c r="G19" s="73"/>
      <c r="H19" s="1"/>
      <c r="I19" s="1"/>
    </row>
    <row r="20" spans="1:9" x14ac:dyDescent="0.25">
      <c r="A20" s="1"/>
      <c r="B20" s="1"/>
      <c r="C20" s="6" t="s">
        <v>7</v>
      </c>
      <c r="D20" s="71" t="s">
        <v>10</v>
      </c>
      <c r="E20" s="72"/>
      <c r="F20" s="72"/>
      <c r="G20" s="73"/>
      <c r="H20" s="1"/>
      <c r="I20" s="1"/>
    </row>
    <row r="21" spans="1:9" x14ac:dyDescent="0.25">
      <c r="A21" s="1"/>
      <c r="B21" s="1"/>
      <c r="C21" s="6" t="s">
        <v>159</v>
      </c>
      <c r="D21" s="63" t="s">
        <v>13</v>
      </c>
      <c r="E21" s="64"/>
      <c r="F21" s="64"/>
      <c r="G21" s="65"/>
      <c r="H21" s="1"/>
      <c r="I21" s="1"/>
    </row>
    <row r="22" spans="1:9" x14ac:dyDescent="0.25">
      <c r="A22" s="1"/>
      <c r="B22" s="1"/>
      <c r="C22" s="6" t="s">
        <v>111</v>
      </c>
      <c r="D22" s="66" t="s">
        <v>255</v>
      </c>
      <c r="E22" s="67"/>
      <c r="F22" s="67"/>
      <c r="G22" s="68"/>
      <c r="H22" s="1"/>
      <c r="I22" s="1"/>
    </row>
    <row r="23" spans="1:9" x14ac:dyDescent="0.25">
      <c r="A23" s="1"/>
      <c r="B23" s="1"/>
      <c r="C23" s="6" t="s">
        <v>8</v>
      </c>
      <c r="D23" s="66" t="s">
        <v>184</v>
      </c>
      <c r="E23" s="67"/>
      <c r="F23" s="67"/>
      <c r="G23" s="68"/>
      <c r="H23" s="1"/>
      <c r="I23" s="1"/>
    </row>
    <row r="24" spans="1:9" x14ac:dyDescent="0.25">
      <c r="A24" s="1"/>
      <c r="B24" s="1"/>
      <c r="C24" s="6" t="s">
        <v>9</v>
      </c>
      <c r="D24" s="66" t="s">
        <v>44</v>
      </c>
      <c r="E24" s="67"/>
      <c r="F24" s="67"/>
      <c r="G24" s="68"/>
      <c r="H24" s="1"/>
      <c r="I24" s="1"/>
    </row>
    <row r="25" spans="1:9" x14ac:dyDescent="0.25">
      <c r="A25" s="1"/>
      <c r="B25" s="1"/>
      <c r="C25" s="6" t="s">
        <v>160</v>
      </c>
      <c r="D25" s="66" t="s">
        <v>112</v>
      </c>
      <c r="E25" s="67"/>
      <c r="F25" s="67"/>
      <c r="G25" s="68"/>
      <c r="H25" s="1"/>
      <c r="I25" s="1"/>
    </row>
    <row r="26" spans="1:9" x14ac:dyDescent="0.25">
      <c r="A26" s="1"/>
      <c r="B26" s="1"/>
      <c r="C26" s="6" t="s">
        <v>161</v>
      </c>
      <c r="D26" s="66" t="s">
        <v>113</v>
      </c>
      <c r="E26" s="67"/>
      <c r="F26" s="67"/>
      <c r="G26" s="68"/>
      <c r="H26" s="1"/>
      <c r="I26" s="1"/>
    </row>
    <row r="27" spans="1:9" x14ac:dyDescent="0.25">
      <c r="A27" s="1"/>
      <c r="B27" s="1"/>
      <c r="C27" s="6" t="s">
        <v>162</v>
      </c>
      <c r="D27" s="66" t="s">
        <v>114</v>
      </c>
      <c r="E27" s="67"/>
      <c r="F27" s="67"/>
      <c r="G27" s="68"/>
      <c r="H27" s="1"/>
      <c r="I27" s="1"/>
    </row>
    <row r="28" spans="1:9" x14ac:dyDescent="0.25">
      <c r="A28" s="1"/>
      <c r="B28" s="1"/>
      <c r="C28" s="6" t="s">
        <v>16</v>
      </c>
      <c r="D28" s="66" t="s">
        <v>216</v>
      </c>
      <c r="E28" s="67"/>
      <c r="F28" s="67"/>
      <c r="G28" s="68"/>
      <c r="H28" s="1"/>
      <c r="I28" s="1"/>
    </row>
    <row r="29" spans="1:9" x14ac:dyDescent="0.25">
      <c r="A29" s="1"/>
      <c r="B29" s="1"/>
      <c r="C29" s="6" t="s">
        <v>46</v>
      </c>
      <c r="D29" s="66" t="s">
        <v>45</v>
      </c>
      <c r="E29" s="67"/>
      <c r="F29" s="67"/>
      <c r="G29" s="68"/>
      <c r="H29" s="1"/>
      <c r="I29" s="1"/>
    </row>
    <row r="30" spans="1:9" x14ac:dyDescent="0.25">
      <c r="A30" s="1"/>
      <c r="B30" s="1"/>
      <c r="C30" s="6" t="s">
        <v>47</v>
      </c>
      <c r="D30" s="74" t="s">
        <v>155</v>
      </c>
      <c r="E30" s="75"/>
      <c r="F30" s="75"/>
      <c r="G30" s="76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z73cO1OGQtLdOFQNrHUVhe0xnQqswbrIlsjRjuNiAUeJiWKPEujR0ZCSStO82Pun1KayoqF8jA7Bc0an/99Img==" saltValue="i0yF582rSLMsx1QQR1jGQQ==" spinCount="100000" sheet="1" objects="1" scenarios="1"/>
  <mergeCells count="21">
    <mergeCell ref="D29:G29"/>
    <mergeCell ref="D30:G30"/>
    <mergeCell ref="D18:G18"/>
    <mergeCell ref="D24:G24"/>
    <mergeCell ref="D25:G25"/>
    <mergeCell ref="D28:G28"/>
    <mergeCell ref="D26:G26"/>
    <mergeCell ref="D27:G27"/>
    <mergeCell ref="D23:G23"/>
    <mergeCell ref="D14:G14"/>
    <mergeCell ref="D6:G7"/>
    <mergeCell ref="D21:G21"/>
    <mergeCell ref="D22:G22"/>
    <mergeCell ref="D11:G11"/>
    <mergeCell ref="D8:G8"/>
    <mergeCell ref="D15:G15"/>
    <mergeCell ref="D16:G16"/>
    <mergeCell ref="D19:G19"/>
    <mergeCell ref="D13:G13"/>
    <mergeCell ref="D17:G17"/>
    <mergeCell ref="D20:G20"/>
  </mergeCells>
  <hyperlinks>
    <hyperlink ref="D14:G14" location="'Fane 2.2. Økonomisk ramme 2022'!A1" display="Samlet økonomisk ramme for 2022"/>
    <hyperlink ref="D25:G25" location="'Fane 10.1. Varige tillæg'!A1" display="Varige tillæg"/>
    <hyperlink ref="D28:G28" location="'Fane 12. Tilknyttet virksomhed'!A1" display="Tilknyttet virksomhed"/>
    <hyperlink ref="D29:G29" location="'Fane 13. Bortfald'!A1" display="Bortfald"/>
    <hyperlink ref="D13:G13" location="'Fane 2.1. Økonomisk ramme 2021'!A1" display="Samlet økonomisk ramme for 2021"/>
    <hyperlink ref="D16:G16" location="'Fane 2.4. Økonomisk ramme 2024'!A1" display="Vejledende økonomisk ramme for 2024"/>
    <hyperlink ref="D15:G15" location="'Fane 2.3. Økonomisk ramme 2023'!A1" display="Vejledende økonomisk ramme for 2023"/>
    <hyperlink ref="D22:G22" location="'Fane 7. Kontrol af ØR2020'!A1" display="Kontrol af den økonomiske ramme for 2019"/>
    <hyperlink ref="D24:G24" location="'Fane 9. Anlægsprojekter'!A1" display="Anlægsprojekter"/>
    <hyperlink ref="D30:G30" location="'Fane 14. Nøgletal'!A1" display="Nøgletal"/>
    <hyperlink ref="D17:G17" location="'Fane 3. Omkostninger i ØR2020'!A1" display="Omkostninger i ØR2020"/>
    <hyperlink ref="D26:G26" location="'Fane 10.2. Engangstillæg'!A1" display="Engangstillæg"/>
    <hyperlink ref="D27:G27" location="'Fane 11. Periodevise driftsomk.'!A1" display="Periodevise driftsomkostninger"/>
    <hyperlink ref="D23:G23" location="'Fane 8. Korrektion af ØR2019'!A1" display="Korrektion af den økonomiske ramme for 2019"/>
    <hyperlink ref="D21:G21" location="'Fane 6. Ikke-påvirkelige omk.'!A1" display="Ikke-påvirkelige omkostninger"/>
    <hyperlink ref="D18:G18" location="'Fane 4.1. Gen. krav - drift'!A1" display="Generelt effektiviseringskrav på drift"/>
    <hyperlink ref="D20:G20" location="'Fane 5. Individuelt eff. krav'!A1" display="Individuelt effektiviseringskrav"/>
    <hyperlink ref="D19:G19" location="'Fane 4.2. Gen. krav - anlæg'!A1" display="Generelt effektiviseringskrav på anlæg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7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58.5703125" style="2" customWidth="1"/>
    <col min="3" max="3" width="12.5703125" style="2" customWidth="1"/>
    <col min="4" max="4" width="2.85546875" style="2" bestFit="1" customWidth="1"/>
    <col min="5" max="5" width="6.28515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7" t="s">
        <v>185</v>
      </c>
      <c r="C3" s="77"/>
      <c r="D3" s="77"/>
      <c r="E3" s="1"/>
    </row>
    <row r="4" spans="1:5" ht="15" customHeight="1" x14ac:dyDescent="0.25">
      <c r="A4" s="1"/>
      <c r="B4" s="77"/>
      <c r="C4" s="77"/>
      <c r="D4" s="77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x14ac:dyDescent="0.25">
      <c r="A9" s="1"/>
      <c r="B9" s="33" t="s">
        <v>27</v>
      </c>
      <c r="C9" s="7">
        <f>'Fane 3. Omkostninger i ØR2020'!E20</f>
        <v>33614659.707655028</v>
      </c>
      <c r="D9" s="8" t="s">
        <v>3</v>
      </c>
      <c r="E9" s="1"/>
    </row>
    <row r="10" spans="1:5" ht="17.100000000000001" customHeight="1" x14ac:dyDescent="0.25">
      <c r="A10" s="1"/>
      <c r="B10" s="50" t="s">
        <v>48</v>
      </c>
      <c r="C10" s="7">
        <f>'Fane 10.1. Varige tillæg'!C13</f>
        <v>32319.545999999998</v>
      </c>
      <c r="D10" s="8" t="s">
        <v>3</v>
      </c>
      <c r="E10" s="1"/>
    </row>
    <row r="11" spans="1:5" ht="17.100000000000001" customHeight="1" x14ac:dyDescent="0.25">
      <c r="A11" s="1"/>
      <c r="B11" s="50" t="s">
        <v>49</v>
      </c>
      <c r="C11" s="9">
        <f>'Fane 10.1. Varige tillæg'!E13</f>
        <v>769232.01809999999</v>
      </c>
      <c r="D11" s="8" t="s">
        <v>3</v>
      </c>
      <c r="E11" s="1"/>
    </row>
    <row r="12" spans="1:5" ht="17.100000000000001" customHeight="1" x14ac:dyDescent="0.25">
      <c r="A12" s="1"/>
      <c r="B12" s="50" t="s">
        <v>32</v>
      </c>
      <c r="C12" s="9">
        <f>-'Fane 13. Bortfald'!C12</f>
        <v>0</v>
      </c>
      <c r="D12" s="8" t="s">
        <v>3</v>
      </c>
      <c r="E12" s="1"/>
    </row>
    <row r="13" spans="1:5" ht="17.100000000000001" customHeight="1" x14ac:dyDescent="0.25">
      <c r="A13" s="1"/>
      <c r="B13" s="50" t="s">
        <v>31</v>
      </c>
      <c r="C13" s="9">
        <f>-'Fane 13. Bortfald'!E12</f>
        <v>0</v>
      </c>
      <c r="D13" s="8" t="s">
        <v>3</v>
      </c>
      <c r="E13" s="1"/>
    </row>
    <row r="14" spans="1:5" ht="17.100000000000001" customHeight="1" x14ac:dyDescent="0.25">
      <c r="A14" s="1"/>
      <c r="B14" s="50" t="s">
        <v>186</v>
      </c>
      <c r="C14" s="9">
        <f>'Fane 12. Tilknyttet virksomhed'!C12</f>
        <v>0</v>
      </c>
      <c r="D14" s="8" t="s">
        <v>3</v>
      </c>
      <c r="E14" s="1"/>
    </row>
    <row r="15" spans="1:5" ht="17.100000000000001" customHeight="1" x14ac:dyDescent="0.25">
      <c r="A15" s="1"/>
      <c r="B15" s="50" t="s">
        <v>187</v>
      </c>
      <c r="C15" s="9">
        <f>'Fane 12. Tilknyttet virksomhed'!E12</f>
        <v>0</v>
      </c>
      <c r="D15" s="8" t="s">
        <v>3</v>
      </c>
      <c r="E15" s="1"/>
    </row>
    <row r="16" spans="1:5" ht="17.100000000000001" customHeight="1" x14ac:dyDescent="0.25">
      <c r="A16" s="1"/>
      <c r="B16" s="50" t="s">
        <v>20</v>
      </c>
      <c r="C16" s="9">
        <f>C9*'Fane 14. Nøgletal'!C12+SUM(C10:C15)*'Fane 14. Nøgletal'!C13</f>
        <v>671987.72532282397</v>
      </c>
      <c r="D16" s="8" t="s">
        <v>3</v>
      </c>
      <c r="E16" s="1"/>
    </row>
    <row r="17" spans="1:5" ht="17.100000000000001" customHeight="1" x14ac:dyDescent="0.25">
      <c r="A17" s="1"/>
      <c r="B17" s="50" t="s">
        <v>10</v>
      </c>
      <c r="C17" s="9">
        <f>-SUM(C9:C16)*'Fane 5. Individuelt eff. krav'!G11</f>
        <v>-375391.91788090364</v>
      </c>
      <c r="D17" s="8" t="s">
        <v>3</v>
      </c>
      <c r="E17" s="1"/>
    </row>
    <row r="18" spans="1:5" ht="17.100000000000001" customHeight="1" x14ac:dyDescent="0.25">
      <c r="A18" s="1"/>
      <c r="B18" s="50" t="s">
        <v>29</v>
      </c>
      <c r="C18" s="9">
        <f>-'Fane 4.1. Gen. krav - drift'!G34</f>
        <v>-115194.58116376335</v>
      </c>
      <c r="D18" s="8" t="s">
        <v>3</v>
      </c>
      <c r="E18" s="1"/>
    </row>
    <row r="19" spans="1:5" ht="17.100000000000001" customHeight="1" x14ac:dyDescent="0.25">
      <c r="A19" s="1"/>
      <c r="B19" s="50" t="s">
        <v>30</v>
      </c>
      <c r="C19" s="9">
        <f>-'Fane 4.2. Gen. krav - anlæg'!G31</f>
        <v>-905494.59599765728</v>
      </c>
      <c r="D19" s="8" t="s">
        <v>3</v>
      </c>
      <c r="E19" s="1"/>
    </row>
    <row r="20" spans="1:5" ht="17.100000000000001" customHeight="1" x14ac:dyDescent="0.25">
      <c r="A20" s="1"/>
      <c r="B20" s="51" t="s">
        <v>22</v>
      </c>
      <c r="C20" s="10">
        <f>SUM(C9:C19)</f>
        <v>33692117.902035534</v>
      </c>
      <c r="D20" s="11" t="s">
        <v>3</v>
      </c>
      <c r="E20" s="1"/>
    </row>
    <row r="21" spans="1:5" ht="15" customHeight="1" x14ac:dyDescent="0.25">
      <c r="A21" s="1"/>
      <c r="B21" s="38" t="s">
        <v>13</v>
      </c>
      <c r="C21" s="32"/>
      <c r="D21" s="20"/>
      <c r="E21" s="1"/>
    </row>
    <row r="22" spans="1:5" ht="15" customHeight="1" x14ac:dyDescent="0.25">
      <c r="A22" s="1"/>
      <c r="B22" s="36" t="s">
        <v>13</v>
      </c>
      <c r="C22" s="10">
        <f>'Fane 6. Ikke-påvirkelige omk.'!C14+'Fane 6. Ikke-påvirkelige omk.'!C18+'Fane 6. Ikke-påvirkelige omk.'!C26</f>
        <v>17381531.229540799</v>
      </c>
      <c r="D22" s="11" t="s">
        <v>3</v>
      </c>
      <c r="E22" s="1"/>
    </row>
    <row r="23" spans="1:5" ht="15" customHeight="1" x14ac:dyDescent="0.25">
      <c r="A23" s="1"/>
      <c r="B23" s="38" t="s">
        <v>114</v>
      </c>
      <c r="C23" s="32"/>
      <c r="D23" s="20"/>
      <c r="E23" s="1"/>
    </row>
    <row r="24" spans="1:5" ht="15" customHeight="1" x14ac:dyDescent="0.25">
      <c r="A24" s="1"/>
      <c r="B24" s="51" t="s">
        <v>114</v>
      </c>
      <c r="C24" s="10">
        <f>'Fane 11. Periodevise driftsomk.'!E12</f>
        <v>226719.83407053803</v>
      </c>
      <c r="D24" s="11" t="s">
        <v>3</v>
      </c>
      <c r="E24" s="1"/>
    </row>
    <row r="25" spans="1:5" ht="15" customHeight="1" x14ac:dyDescent="0.25">
      <c r="A25" s="1"/>
      <c r="B25" s="38" t="s">
        <v>113</v>
      </c>
      <c r="C25" s="32"/>
      <c r="D25" s="20"/>
      <c r="E25" s="1"/>
    </row>
    <row r="26" spans="1:5" ht="15" customHeight="1" x14ac:dyDescent="0.25">
      <c r="A26" s="1"/>
      <c r="B26" s="50" t="s">
        <v>109</v>
      </c>
      <c r="C26" s="9">
        <f>'Fane 10.2. Engangstillæg'!C14</f>
        <v>634200.49270326551</v>
      </c>
      <c r="D26" s="8" t="s">
        <v>3</v>
      </c>
      <c r="E26" s="1"/>
    </row>
    <row r="27" spans="1:5" ht="15" customHeight="1" x14ac:dyDescent="0.25">
      <c r="A27" s="1"/>
      <c r="B27" s="50" t="s">
        <v>110</v>
      </c>
      <c r="C27" s="9">
        <f>'Fane 10.2. Engangstillæg'!E14</f>
        <v>0</v>
      </c>
      <c r="D27" s="8" t="s">
        <v>3</v>
      </c>
      <c r="E27" s="1"/>
    </row>
    <row r="28" spans="1:5" x14ac:dyDescent="0.25">
      <c r="A28" s="1"/>
      <c r="B28" s="51" t="s">
        <v>115</v>
      </c>
      <c r="C28" s="10">
        <f>SUM(C26:C27)</f>
        <v>634200.49270326551</v>
      </c>
      <c r="D28" s="11" t="s">
        <v>3</v>
      </c>
      <c r="E28" s="1"/>
    </row>
    <row r="29" spans="1:5" x14ac:dyDescent="0.25">
      <c r="A29" s="1"/>
      <c r="B29" s="38" t="s">
        <v>252</v>
      </c>
      <c r="C29" s="32"/>
      <c r="D29" s="20"/>
      <c r="E29" s="1"/>
    </row>
    <row r="30" spans="1:5" x14ac:dyDescent="0.25">
      <c r="A30" s="1"/>
      <c r="B30" s="36" t="s">
        <v>244</v>
      </c>
      <c r="C30" s="10">
        <f>'Fane 7. Kontrol af ØR2019'!E32</f>
        <v>0</v>
      </c>
      <c r="D30" s="11" t="s">
        <v>3</v>
      </c>
      <c r="E30" s="1"/>
    </row>
    <row r="31" spans="1:5" ht="15" customHeight="1" x14ac:dyDescent="0.25">
      <c r="A31" s="1"/>
      <c r="B31" s="38" t="s">
        <v>184</v>
      </c>
      <c r="C31" s="32"/>
      <c r="D31" s="20"/>
      <c r="E31" s="1"/>
    </row>
    <row r="32" spans="1:5" x14ac:dyDescent="0.25">
      <c r="A32" s="1"/>
      <c r="B32" s="36" t="s">
        <v>184</v>
      </c>
      <c r="C32" s="10">
        <f>'Fane 8. Korrektion af ØR2019'!E17</f>
        <v>-5742</v>
      </c>
      <c r="D32" s="11" t="s">
        <v>3</v>
      </c>
      <c r="E32" s="1"/>
    </row>
    <row r="33" spans="1:5" x14ac:dyDescent="0.25">
      <c r="A33" s="1"/>
      <c r="B33" s="38" t="s">
        <v>35</v>
      </c>
      <c r="C33" s="34">
        <f>SUM(C32,C30,C28,C24,C22,C20)</f>
        <v>51928827.458350137</v>
      </c>
      <c r="D33" s="35" t="s">
        <v>3</v>
      </c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</sheetData>
  <sheetProtection algorithmName="SHA-512" hashValue="cK8E+9PZojeLLPIk/R458Z8omrr0MNXsjcqK4msWaodfbCJomFcYJXDk9Cojin+kfB+MnTcPLOLYdrBys/ZOlw==" saltValue="Y6jmk2pVHLFJF3K9uqIarw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0.85546875" style="2" customWidth="1"/>
    <col min="3" max="3" width="12.2851562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7" t="s">
        <v>188</v>
      </c>
      <c r="C3" s="77"/>
      <c r="D3" s="77"/>
      <c r="E3" s="1"/>
    </row>
    <row r="4" spans="1:5" ht="15" customHeight="1" x14ac:dyDescent="0.25">
      <c r="A4" s="1"/>
      <c r="B4" s="77"/>
      <c r="C4" s="77"/>
      <c r="D4" s="77"/>
      <c r="E4" s="1"/>
    </row>
    <row r="5" spans="1:5" x14ac:dyDescent="0.25">
      <c r="A5" s="1"/>
      <c r="B5" s="78" t="s">
        <v>23</v>
      </c>
      <c r="C5" s="78"/>
      <c r="D5" s="78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28</v>
      </c>
      <c r="C9" s="7">
        <f>'Fane 2.1. Økonomisk ramme 2021'!C20</f>
        <v>33692117.902035534</v>
      </c>
      <c r="D9" s="8" t="s">
        <v>3</v>
      </c>
      <c r="E9" s="1"/>
    </row>
    <row r="10" spans="1:5" ht="15" customHeight="1" x14ac:dyDescent="0.25">
      <c r="A10" s="1"/>
      <c r="B10" s="50" t="s">
        <v>32</v>
      </c>
      <c r="C10" s="7">
        <f>-'Fane 13. Bortfald'!C18</f>
        <v>0</v>
      </c>
      <c r="D10" s="8" t="s">
        <v>3</v>
      </c>
      <c r="E10" s="1"/>
    </row>
    <row r="11" spans="1:5" ht="15" customHeight="1" x14ac:dyDescent="0.25">
      <c r="A11" s="1"/>
      <c r="B11" s="50" t="s">
        <v>31</v>
      </c>
      <c r="C11" s="7">
        <f>-'Fane 13. Bortfald'!E18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Nøgletal'!C13</f>
        <v>411043.83840483357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krav'!G11</f>
        <v>-364853.47374519624</v>
      </c>
      <c r="D13" s="8" t="s">
        <v>3</v>
      </c>
      <c r="E13" s="1"/>
    </row>
    <row r="14" spans="1:5" ht="15" customHeight="1" x14ac:dyDescent="0.25">
      <c r="A14" s="1"/>
      <c r="B14" s="30" t="s">
        <v>29</v>
      </c>
      <c r="C14" s="9">
        <f>-'Fane 4.1. Gen. krav - drift'!G40</f>
        <v>-114267.95595288204</v>
      </c>
      <c r="D14" s="8" t="s">
        <v>3</v>
      </c>
      <c r="E14" s="1"/>
    </row>
    <row r="15" spans="1:5" ht="15" customHeight="1" x14ac:dyDescent="0.25">
      <c r="A15" s="1"/>
      <c r="B15" s="30" t="s">
        <v>30</v>
      </c>
      <c r="C15" s="9">
        <f>-'Fane 4.2. Gen. krav - anlæg'!G37</f>
        <v>-862978.22813950549</v>
      </c>
      <c r="D15" s="8" t="s">
        <v>3</v>
      </c>
      <c r="E15" s="1"/>
    </row>
    <row r="16" spans="1:5" ht="15" customHeight="1" x14ac:dyDescent="0.25">
      <c r="A16" s="1"/>
      <c r="B16" s="31" t="s">
        <v>22</v>
      </c>
      <c r="C16" s="10">
        <f>SUM(C9:C15)</f>
        <v>32761062.082602784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omk.'!C14*(1+'Fane 14. Nøgletal'!C13)+'Fane 6. Ikke-påvirkelige omk.'!C19+'Fane 6. Ikke-påvirkelige omk.'!C27</f>
        <v>17589811.334341198</v>
      </c>
      <c r="D18" s="11" t="s">
        <v>3</v>
      </c>
      <c r="E18" s="1"/>
    </row>
    <row r="19" spans="1:5" ht="15" customHeight="1" x14ac:dyDescent="0.25">
      <c r="A19" s="1"/>
      <c r="B19" s="38" t="s">
        <v>114</v>
      </c>
      <c r="C19" s="32"/>
      <c r="D19" s="20"/>
      <c r="E19" s="1"/>
    </row>
    <row r="20" spans="1:5" ht="15" customHeight="1" x14ac:dyDescent="0.25">
      <c r="A20" s="1"/>
      <c r="B20" s="51" t="s">
        <v>114</v>
      </c>
      <c r="C20" s="10">
        <f>'Fane 11. Periodevise driftsomk.'!E18</f>
        <v>225501.32679189314</v>
      </c>
      <c r="D20" s="11" t="s">
        <v>3</v>
      </c>
      <c r="E20" s="1"/>
    </row>
    <row r="21" spans="1:5" ht="15" customHeight="1" x14ac:dyDescent="0.25">
      <c r="A21" s="1"/>
      <c r="B21" s="38" t="s">
        <v>113</v>
      </c>
      <c r="C21" s="32"/>
      <c r="D21" s="20"/>
      <c r="E21" s="1"/>
    </row>
    <row r="22" spans="1:5" ht="15" customHeight="1" x14ac:dyDescent="0.25">
      <c r="A22" s="1"/>
      <c r="B22" s="50" t="s">
        <v>109</v>
      </c>
      <c r="C22" s="9">
        <f>'Fane 10.2. Engangstillæg'!C22</f>
        <v>0</v>
      </c>
      <c r="D22" s="8" t="s">
        <v>3</v>
      </c>
      <c r="E22" s="1"/>
    </row>
    <row r="23" spans="1:5" ht="15" customHeight="1" x14ac:dyDescent="0.25">
      <c r="A23" s="1"/>
      <c r="B23" s="50" t="s">
        <v>110</v>
      </c>
      <c r="C23" s="9">
        <f>'Fane 10.2. Engangstillæg'!E22</f>
        <v>0</v>
      </c>
      <c r="D23" s="8" t="s">
        <v>3</v>
      </c>
      <c r="E23" s="1"/>
    </row>
    <row r="24" spans="1:5" ht="15" customHeight="1" x14ac:dyDescent="0.25">
      <c r="A24" s="1"/>
      <c r="B24" s="51" t="s">
        <v>115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8" t="s">
        <v>252</v>
      </c>
      <c r="C25" s="32"/>
      <c r="D25" s="20"/>
      <c r="E25" s="1"/>
    </row>
    <row r="26" spans="1:5" ht="15" customHeight="1" x14ac:dyDescent="0.25">
      <c r="A26" s="1"/>
      <c r="B26" s="36" t="s">
        <v>244</v>
      </c>
      <c r="C26" s="10">
        <f>'Fane 7. Kontrol af ØR2019'!E40</f>
        <v>0</v>
      </c>
      <c r="D26" s="11" t="s">
        <v>3</v>
      </c>
      <c r="E26" s="1"/>
    </row>
    <row r="27" spans="1:5" x14ac:dyDescent="0.25">
      <c r="A27" s="1"/>
      <c r="B27" s="38" t="s">
        <v>36</v>
      </c>
      <c r="C27" s="12">
        <f>SUM(C16,C18,C20,C24,C26)</f>
        <v>50576374.743735872</v>
      </c>
      <c r="D27" s="13" t="s">
        <v>3</v>
      </c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cQipaD8sxtL0dH9E1ixEQq6RxIZA0uuKa9t0UQqRcsnJl5Logy/ZLTt32YKwGoBLrh45+uEFVYeRs+LV67RMZA==" saltValue="LLz+hyZnaWG/Kw6YQ5tMOw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14062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7" t="s">
        <v>189</v>
      </c>
      <c r="C3" s="77"/>
      <c r="D3" s="77"/>
      <c r="E3" s="1"/>
    </row>
    <row r="4" spans="1:5" ht="15" customHeight="1" x14ac:dyDescent="0.25">
      <c r="A4" s="1"/>
      <c r="B4" s="77"/>
      <c r="C4" s="77"/>
      <c r="D4" s="77"/>
      <c r="E4" s="1"/>
    </row>
    <row r="5" spans="1:5" x14ac:dyDescent="0.25">
      <c r="A5" s="1"/>
      <c r="B5" s="78" t="s">
        <v>23</v>
      </c>
      <c r="C5" s="78"/>
      <c r="D5" s="78"/>
      <c r="E5" s="1"/>
    </row>
    <row r="6" spans="1:5" x14ac:dyDescent="0.25">
      <c r="A6" s="1"/>
      <c r="B6" s="49"/>
      <c r="C6" s="49"/>
      <c r="D6" s="49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190</v>
      </c>
      <c r="C9" s="7">
        <f>'Fane 2.2. Økonomisk ramme 2022'!C16</f>
        <v>32761062.082602784</v>
      </c>
      <c r="D9" s="8" t="s">
        <v>3</v>
      </c>
      <c r="E9" s="1"/>
    </row>
    <row r="10" spans="1:5" ht="15" customHeight="1" x14ac:dyDescent="0.25">
      <c r="A10" s="1"/>
      <c r="B10" s="33" t="s">
        <v>32</v>
      </c>
      <c r="C10" s="7">
        <f>-'Fane 13. Bortfald'!C24</f>
        <v>0</v>
      </c>
      <c r="D10" s="8" t="s">
        <v>3</v>
      </c>
      <c r="E10" s="1"/>
    </row>
    <row r="11" spans="1:5" ht="15" customHeight="1" x14ac:dyDescent="0.25">
      <c r="A11" s="1"/>
      <c r="B11" s="33" t="s">
        <v>31</v>
      </c>
      <c r="C11" s="7">
        <f>-'Fane 13. Bortfald'!E24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Nøgletal'!C13</f>
        <v>399684.95740775397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krav'!G11</f>
        <v>-354771.02802425815</v>
      </c>
      <c r="D13" s="8" t="s">
        <v>3</v>
      </c>
      <c r="E13" s="1"/>
    </row>
    <row r="14" spans="1:5" ht="15" customHeight="1" x14ac:dyDescent="0.25">
      <c r="A14" s="1"/>
      <c r="B14" s="30" t="s">
        <v>29</v>
      </c>
      <c r="C14" s="9">
        <f>-'Fane 4.1. Gen. krav - drift'!G46</f>
        <v>-113348.78451519705</v>
      </c>
      <c r="D14" s="8" t="s">
        <v>3</v>
      </c>
      <c r="E14" s="1"/>
    </row>
    <row r="15" spans="1:5" ht="15" customHeight="1" x14ac:dyDescent="0.25">
      <c r="A15" s="1"/>
      <c r="B15" s="30" t="s">
        <v>30</v>
      </c>
      <c r="C15" s="9">
        <f>-'Fane 4.2. Gen. krav - anlæg'!G43</f>
        <v>-849485.13205343019</v>
      </c>
      <c r="D15" s="8" t="s">
        <v>3</v>
      </c>
      <c r="E15" s="1"/>
    </row>
    <row r="16" spans="1:5" x14ac:dyDescent="0.25">
      <c r="A16" s="1"/>
      <c r="B16" s="31" t="s">
        <v>22</v>
      </c>
      <c r="C16" s="10">
        <f>SUM(C9:C15)</f>
        <v>31843142.095417649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omk.'!C14*(1+'Fane 14. Nøgletal'!C13)^2+'Fane 6. Ikke-påvirkelige omk.'!C20+'Fane 6. Ikke-påvirkelige omk.'!C28</f>
        <v>17800632.785020158</v>
      </c>
      <c r="D18" s="11" t="s">
        <v>3</v>
      </c>
      <c r="E18" s="1"/>
    </row>
    <row r="19" spans="1:5" ht="15" customHeight="1" x14ac:dyDescent="0.25">
      <c r="A19" s="1"/>
      <c r="B19" s="38" t="s">
        <v>114</v>
      </c>
      <c r="C19" s="32"/>
      <c r="D19" s="20"/>
      <c r="E19" s="1"/>
    </row>
    <row r="20" spans="1:5" ht="15" customHeight="1" x14ac:dyDescent="0.25">
      <c r="A20" s="1"/>
      <c r="B20" s="51" t="s">
        <v>114</v>
      </c>
      <c r="C20" s="10">
        <f>'Fane 11. Periodevise driftsomk.'!E24</f>
        <v>228252.44297875423</v>
      </c>
      <c r="D20" s="11" t="s">
        <v>3</v>
      </c>
      <c r="E20" s="1"/>
    </row>
    <row r="21" spans="1:5" ht="15" customHeight="1" x14ac:dyDescent="0.25">
      <c r="A21" s="1"/>
      <c r="B21" s="38" t="s">
        <v>113</v>
      </c>
      <c r="C21" s="32"/>
      <c r="D21" s="20"/>
      <c r="E21" s="1"/>
    </row>
    <row r="22" spans="1:5" ht="15" customHeight="1" x14ac:dyDescent="0.25">
      <c r="A22" s="1"/>
      <c r="B22" s="50" t="s">
        <v>109</v>
      </c>
      <c r="C22" s="9">
        <f>'Fane 10.2. Engangstillæg'!C30</f>
        <v>0</v>
      </c>
      <c r="D22" s="8" t="s">
        <v>3</v>
      </c>
      <c r="E22" s="1"/>
    </row>
    <row r="23" spans="1:5" ht="15" customHeight="1" x14ac:dyDescent="0.25">
      <c r="A23" s="1"/>
      <c r="B23" s="50" t="s">
        <v>110</v>
      </c>
      <c r="C23" s="9">
        <f>'Fane 10.2. Engangstillæg'!E30</f>
        <v>0</v>
      </c>
      <c r="D23" s="8" t="s">
        <v>3</v>
      </c>
      <c r="E23" s="1"/>
    </row>
    <row r="24" spans="1:5" ht="15" customHeight="1" x14ac:dyDescent="0.25">
      <c r="A24" s="1"/>
      <c r="B24" s="51" t="s">
        <v>115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8" t="s">
        <v>252</v>
      </c>
      <c r="C25" s="32"/>
      <c r="D25" s="20"/>
      <c r="E25" s="1"/>
    </row>
    <row r="26" spans="1:5" x14ac:dyDescent="0.25">
      <c r="A26" s="1"/>
      <c r="B26" s="36" t="s">
        <v>244</v>
      </c>
      <c r="C26" s="10">
        <f>'Fane 7. Kontrol af ØR2019'!E40</f>
        <v>0</v>
      </c>
      <c r="D26" s="11" t="s">
        <v>3</v>
      </c>
      <c r="E26" s="1"/>
    </row>
    <row r="27" spans="1:5" x14ac:dyDescent="0.25">
      <c r="A27" s="1"/>
      <c r="B27" s="38" t="s">
        <v>124</v>
      </c>
      <c r="C27" s="12">
        <f>SUM(C16,C18,C20,C24,C26)</f>
        <v>49872027.323416561</v>
      </c>
      <c r="D27" s="13" t="s">
        <v>3</v>
      </c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OVjs2eFrEoaaTW/NNRbL3njhZcoQyUCQf5xrPT+UAg3+tR3IPvsyvuhtw793TuDHsCT7UoJ7nAykYVh8j10xzQ==" saltValue="V/JRgf/44Fr+3qFsWgaemw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570312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7" t="s">
        <v>191</v>
      </c>
      <c r="C3" s="77"/>
      <c r="D3" s="77"/>
      <c r="E3" s="1"/>
    </row>
    <row r="4" spans="1:5" ht="15" customHeight="1" x14ac:dyDescent="0.25">
      <c r="A4" s="1"/>
      <c r="B4" s="77"/>
      <c r="C4" s="77"/>
      <c r="D4" s="77"/>
      <c r="E4" s="1"/>
    </row>
    <row r="5" spans="1:5" x14ac:dyDescent="0.25">
      <c r="A5" s="1"/>
      <c r="B5" s="78" t="s">
        <v>23</v>
      </c>
      <c r="C5" s="78"/>
      <c r="D5" s="78"/>
      <c r="E5" s="1"/>
    </row>
    <row r="6" spans="1:5" x14ac:dyDescent="0.25">
      <c r="A6" s="1"/>
      <c r="B6" s="49"/>
      <c r="C6" s="49"/>
      <c r="D6" s="49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192</v>
      </c>
      <c r="C9" s="7">
        <f>'Fane 2.3. Økonomisk ramme 2023'!C16</f>
        <v>31843142.095417649</v>
      </c>
      <c r="D9" s="8" t="s">
        <v>3</v>
      </c>
      <c r="E9" s="1"/>
    </row>
    <row r="10" spans="1:5" ht="15" customHeight="1" x14ac:dyDescent="0.25">
      <c r="A10" s="1"/>
      <c r="B10" s="33" t="s">
        <v>32</v>
      </c>
      <c r="C10" s="7">
        <f>-'Fane 13. Bortfald'!C30</f>
        <v>0</v>
      </c>
      <c r="D10" s="8" t="s">
        <v>3</v>
      </c>
      <c r="E10" s="1"/>
    </row>
    <row r="11" spans="1:5" ht="15" customHeight="1" x14ac:dyDescent="0.25">
      <c r="A11" s="1"/>
      <c r="B11" s="33" t="s">
        <v>31</v>
      </c>
      <c r="C11" s="7">
        <f>-'Fane 13. Bortfald'!E30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Nøgletal'!C13</f>
        <v>388486.33356409532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krav'!G11</f>
        <v>-344830.83082684752</v>
      </c>
      <c r="D13" s="8" t="s">
        <v>3</v>
      </c>
      <c r="E13" s="1"/>
    </row>
    <row r="14" spans="1:5" ht="15" customHeight="1" x14ac:dyDescent="0.25">
      <c r="A14" s="1"/>
      <c r="B14" s="30" t="s">
        <v>29</v>
      </c>
      <c r="C14" s="9">
        <f>-'Fane 4.1. Gen. krav - drift'!G54</f>
        <v>-112437.0068925568</v>
      </c>
      <c r="D14" s="8" t="s">
        <v>3</v>
      </c>
      <c r="E14" s="1"/>
    </row>
    <row r="15" spans="1:5" ht="15" customHeight="1" x14ac:dyDescent="0.25">
      <c r="A15" s="1"/>
      <c r="B15" s="30" t="s">
        <v>30</v>
      </c>
      <c r="C15" s="9">
        <f>-'Fane 4.2. Gen. krav - anlæg'!G49</f>
        <v>-836203.00727120868</v>
      </c>
      <c r="D15" s="8" t="s">
        <v>3</v>
      </c>
      <c r="E15" s="1"/>
    </row>
    <row r="16" spans="1:5" x14ac:dyDescent="0.25">
      <c r="A16" s="1"/>
      <c r="B16" s="31" t="s">
        <v>22</v>
      </c>
      <c r="C16" s="10">
        <f>SUM(C9:C15)</f>
        <v>30938157.583991129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omk.'!C14*(1+'Fane 14. Nøgletal'!C13)^3+'Fane 6. Ikke-påvirkelige omk.'!C21+'Fane 6. Ikke-påvirkelige omk.'!C29</f>
        <v>18014026.561597407</v>
      </c>
      <c r="D18" s="11" t="s">
        <v>3</v>
      </c>
      <c r="E18" s="1"/>
    </row>
    <row r="19" spans="1:5" ht="15" customHeight="1" x14ac:dyDescent="0.25">
      <c r="A19" s="1"/>
      <c r="B19" s="38" t="s">
        <v>114</v>
      </c>
      <c r="C19" s="32"/>
      <c r="D19" s="20"/>
      <c r="E19" s="1"/>
    </row>
    <row r="20" spans="1:5" ht="15" customHeight="1" x14ac:dyDescent="0.25">
      <c r="A20" s="1"/>
      <c r="B20" s="51" t="s">
        <v>114</v>
      </c>
      <c r="C20" s="10">
        <f>'Fane 11. Periodevise driftsomk.'!E30</f>
        <v>231037.12278309505</v>
      </c>
      <c r="D20" s="11" t="s">
        <v>3</v>
      </c>
      <c r="E20" s="1"/>
    </row>
    <row r="21" spans="1:5" ht="15" customHeight="1" x14ac:dyDescent="0.25">
      <c r="A21" s="1"/>
      <c r="B21" s="38" t="s">
        <v>113</v>
      </c>
      <c r="C21" s="32"/>
      <c r="D21" s="20"/>
      <c r="E21" s="1"/>
    </row>
    <row r="22" spans="1:5" ht="15" customHeight="1" x14ac:dyDescent="0.25">
      <c r="A22" s="1"/>
      <c r="B22" s="50" t="s">
        <v>109</v>
      </c>
      <c r="C22" s="9">
        <f>'Fane 10.2. Engangstillæg'!C38</f>
        <v>0</v>
      </c>
      <c r="D22" s="8" t="s">
        <v>3</v>
      </c>
      <c r="E22" s="1"/>
    </row>
    <row r="23" spans="1:5" ht="15" customHeight="1" x14ac:dyDescent="0.25">
      <c r="A23" s="1"/>
      <c r="B23" s="50" t="s">
        <v>110</v>
      </c>
      <c r="C23" s="9">
        <f>'Fane 10.2. Engangstillæg'!E38</f>
        <v>0</v>
      </c>
      <c r="D23" s="8" t="s">
        <v>3</v>
      </c>
      <c r="E23" s="1"/>
    </row>
    <row r="24" spans="1:5" ht="15" customHeight="1" x14ac:dyDescent="0.25">
      <c r="A24" s="1"/>
      <c r="B24" s="51" t="s">
        <v>115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8" t="s">
        <v>193</v>
      </c>
      <c r="C25" s="12">
        <f>SUM(C16,C18,C20,C24)</f>
        <v>49183221.268371627</v>
      </c>
      <c r="D25" s="13" t="s">
        <v>3</v>
      </c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J2Ox3yBpBrlS3xrLUQ4gKUkT9r6N3rJxR5hHztixBFvG0t7CY28xvcb0EpyauhJSWamqtohyMX7j1RP96RMgqg==" saltValue="adQyLbZrulcAVscKpPqjeg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52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2" width="12.28515625" style="2" customWidth="1"/>
    <col min="3" max="3" width="12" style="2" customWidth="1"/>
    <col min="4" max="4" width="31.7109375" style="2" customWidth="1"/>
    <col min="5" max="5" width="10.85546875" style="2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1" t="s">
        <v>194</v>
      </c>
      <c r="C3" s="91"/>
      <c r="D3" s="91"/>
      <c r="E3" s="91"/>
      <c r="F3" s="91"/>
      <c r="G3" s="1"/>
    </row>
    <row r="4" spans="1:7" ht="29.25" customHeight="1" x14ac:dyDescent="0.25">
      <c r="A4" s="1"/>
      <c r="B4" s="91"/>
      <c r="C4" s="91"/>
      <c r="D4" s="91"/>
      <c r="E4" s="91"/>
      <c r="F4" s="9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195</v>
      </c>
      <c r="C8" s="32"/>
      <c r="D8" s="32"/>
      <c r="E8" s="32"/>
      <c r="F8" s="20"/>
      <c r="G8" s="1"/>
    </row>
    <row r="9" spans="1:7" ht="15" customHeight="1" x14ac:dyDescent="0.25">
      <c r="A9" s="1"/>
      <c r="B9" s="79" t="s">
        <v>25</v>
      </c>
      <c r="C9" s="80"/>
      <c r="D9" s="81"/>
      <c r="E9" s="7">
        <v>33722208.598509803</v>
      </c>
      <c r="F9" s="8" t="s">
        <v>3</v>
      </c>
      <c r="G9" s="1"/>
    </row>
    <row r="10" spans="1:7" ht="15" customHeight="1" x14ac:dyDescent="0.25">
      <c r="A10" s="1"/>
      <c r="B10" s="82" t="s">
        <v>48</v>
      </c>
      <c r="C10" s="83"/>
      <c r="D10" s="84"/>
      <c r="E10" s="8">
        <v>0</v>
      </c>
      <c r="F10" s="8" t="s">
        <v>3</v>
      </c>
      <c r="G10" s="1"/>
    </row>
    <row r="11" spans="1:7" ht="15" customHeight="1" x14ac:dyDescent="0.25">
      <c r="A11" s="1"/>
      <c r="B11" s="82" t="s">
        <v>49</v>
      </c>
      <c r="C11" s="83"/>
      <c r="D11" s="84"/>
      <c r="E11" s="9">
        <v>597719.52042000007</v>
      </c>
      <c r="F11" s="8" t="s">
        <v>3</v>
      </c>
      <c r="G11" s="1"/>
    </row>
    <row r="12" spans="1:7" ht="15" customHeight="1" x14ac:dyDescent="0.25">
      <c r="A12" s="1"/>
      <c r="B12" s="82" t="s">
        <v>32</v>
      </c>
      <c r="C12" s="83"/>
      <c r="D12" s="84"/>
      <c r="E12" s="14">
        <v>0</v>
      </c>
      <c r="F12" s="8" t="s">
        <v>3</v>
      </c>
      <c r="G12" s="1"/>
    </row>
    <row r="13" spans="1:7" ht="15" customHeight="1" x14ac:dyDescent="0.25">
      <c r="A13" s="1"/>
      <c r="B13" s="79" t="s">
        <v>31</v>
      </c>
      <c r="C13" s="80"/>
      <c r="D13" s="81"/>
      <c r="E13" s="14">
        <v>0</v>
      </c>
      <c r="F13" s="8" t="s">
        <v>3</v>
      </c>
      <c r="G13" s="1"/>
    </row>
    <row r="14" spans="1:7" ht="15" customHeight="1" x14ac:dyDescent="0.25">
      <c r="A14" s="1"/>
      <c r="B14" s="79" t="s">
        <v>34</v>
      </c>
      <c r="C14" s="80"/>
      <c r="D14" s="81"/>
      <c r="E14" s="14">
        <v>0</v>
      </c>
      <c r="F14" s="8" t="s">
        <v>3</v>
      </c>
      <c r="G14" s="1"/>
    </row>
    <row r="15" spans="1:7" ht="15" customHeight="1" x14ac:dyDescent="0.25">
      <c r="A15" s="1"/>
      <c r="B15" s="79" t="s">
        <v>33</v>
      </c>
      <c r="C15" s="80"/>
      <c r="D15" s="81"/>
      <c r="E15" s="14">
        <v>0</v>
      </c>
      <c r="F15" s="8" t="s">
        <v>3</v>
      </c>
      <c r="G15" s="1"/>
    </row>
    <row r="16" spans="1:7" ht="15" customHeight="1" x14ac:dyDescent="0.25">
      <c r="A16" s="1"/>
      <c r="B16" s="79" t="s">
        <v>20</v>
      </c>
      <c r="C16" s="80"/>
      <c r="D16" s="81"/>
      <c r="E16" s="9">
        <f>SUM(E9:E15)*'Fane 14. Nøgletal'!C12</f>
        <v>676102.58394291706</v>
      </c>
      <c r="F16" s="8" t="s">
        <v>3</v>
      </c>
      <c r="G16" s="1"/>
    </row>
    <row r="17" spans="1:7" ht="15" customHeight="1" x14ac:dyDescent="0.25">
      <c r="A17" s="1"/>
      <c r="B17" s="79" t="s">
        <v>10</v>
      </c>
      <c r="C17" s="80"/>
      <c r="D17" s="81"/>
      <c r="E17" s="9">
        <f>-SUM(E9:E16)*'Fane 5. Individuelt eff. krav'!G11</f>
        <v>-374405.85322901438</v>
      </c>
      <c r="F17" s="8" t="s">
        <v>3</v>
      </c>
      <c r="G17" s="1"/>
    </row>
    <row r="18" spans="1:7" ht="15" customHeight="1" x14ac:dyDescent="0.25">
      <c r="A18" s="1"/>
      <c r="B18" s="79" t="s">
        <v>29</v>
      </c>
      <c r="C18" s="80"/>
      <c r="D18" s="81"/>
      <c r="E18" s="9">
        <f>-'Fane 4.1. Gen. krav - drift'!G28</f>
        <v>-114619.85045075217</v>
      </c>
      <c r="F18" s="8" t="s">
        <v>3</v>
      </c>
      <c r="G18" s="1"/>
    </row>
    <row r="19" spans="1:7" ht="15" customHeight="1" x14ac:dyDescent="0.25">
      <c r="A19" s="1"/>
      <c r="B19" s="79" t="s">
        <v>30</v>
      </c>
      <c r="C19" s="80"/>
      <c r="D19" s="81"/>
      <c r="E19" s="9">
        <f>-'Fane 4.2. Gen. krav - anlæg'!G25</f>
        <v>-892345.29153792444</v>
      </c>
      <c r="F19" s="8" t="s">
        <v>3</v>
      </c>
      <c r="G19" s="1"/>
    </row>
    <row r="20" spans="1:7" ht="15" customHeight="1" x14ac:dyDescent="0.25">
      <c r="A20" s="1"/>
      <c r="B20" s="51" t="s">
        <v>22</v>
      </c>
      <c r="C20" s="52"/>
      <c r="D20" s="57"/>
      <c r="E20" s="10">
        <f>SUM(E9:E19)</f>
        <v>33614659.707655028</v>
      </c>
      <c r="F20" s="11" t="s">
        <v>3</v>
      </c>
      <c r="G20" s="1"/>
    </row>
    <row r="21" spans="1:7" ht="15" customHeight="1" x14ac:dyDescent="0.25">
      <c r="A21" s="1"/>
      <c r="B21" s="38" t="s">
        <v>13</v>
      </c>
      <c r="C21" s="32"/>
      <c r="D21" s="32"/>
      <c r="E21" s="32"/>
      <c r="F21" s="20"/>
      <c r="G21" s="1"/>
    </row>
    <row r="22" spans="1:7" ht="15" customHeight="1" x14ac:dyDescent="0.25">
      <c r="A22" s="1"/>
      <c r="B22" s="85" t="s">
        <v>13</v>
      </c>
      <c r="C22" s="86"/>
      <c r="D22" s="87"/>
      <c r="E22" s="10">
        <v>21261202.578050721</v>
      </c>
      <c r="F22" s="11" t="s">
        <v>3</v>
      </c>
      <c r="G22" s="1"/>
    </row>
    <row r="23" spans="1:7" ht="15" customHeight="1" x14ac:dyDescent="0.25">
      <c r="A23" s="1"/>
      <c r="B23" s="88" t="s">
        <v>114</v>
      </c>
      <c r="C23" s="89"/>
      <c r="D23" s="90"/>
      <c r="E23" s="32"/>
      <c r="F23" s="32"/>
      <c r="G23" s="1"/>
    </row>
    <row r="24" spans="1:7" ht="15" customHeight="1" x14ac:dyDescent="0.25">
      <c r="A24" s="1"/>
      <c r="B24" s="51" t="s">
        <v>114</v>
      </c>
      <c r="C24" s="44"/>
      <c r="D24" s="45"/>
      <c r="E24" s="10">
        <v>222339.77770471864</v>
      </c>
      <c r="F24" s="11" t="s">
        <v>3</v>
      </c>
      <c r="G24" s="1"/>
    </row>
    <row r="25" spans="1:7" x14ac:dyDescent="0.25">
      <c r="A25" s="1"/>
      <c r="B25" s="38" t="s">
        <v>113</v>
      </c>
      <c r="C25" s="32"/>
      <c r="D25" s="32"/>
      <c r="E25" s="32"/>
      <c r="F25" s="20"/>
      <c r="G25" s="1"/>
    </row>
    <row r="26" spans="1:7" ht="15" customHeight="1" x14ac:dyDescent="0.25">
      <c r="A26" s="1"/>
      <c r="B26" s="82" t="s">
        <v>109</v>
      </c>
      <c r="C26" s="83"/>
      <c r="D26" s="84"/>
      <c r="E26" s="9">
        <v>0</v>
      </c>
      <c r="F26" s="8" t="s">
        <v>3</v>
      </c>
      <c r="G26" s="1"/>
    </row>
    <row r="27" spans="1:7" ht="15" customHeight="1" x14ac:dyDescent="0.25">
      <c r="A27" s="1"/>
      <c r="B27" s="82" t="s">
        <v>110</v>
      </c>
      <c r="C27" s="83"/>
      <c r="D27" s="83"/>
      <c r="E27" s="9">
        <v>0</v>
      </c>
      <c r="F27" s="8" t="s">
        <v>3</v>
      </c>
      <c r="G27" s="1"/>
    </row>
    <row r="28" spans="1:7" ht="15" customHeight="1" x14ac:dyDescent="0.25">
      <c r="A28" s="1"/>
      <c r="B28" s="92" t="s">
        <v>115</v>
      </c>
      <c r="C28" s="93"/>
      <c r="D28" s="93"/>
      <c r="E28" s="46">
        <v>0</v>
      </c>
      <c r="F28" s="11" t="s">
        <v>3</v>
      </c>
      <c r="G28" s="1"/>
    </row>
    <row r="29" spans="1:7" ht="15" customHeight="1" x14ac:dyDescent="0.25">
      <c r="A29" s="1"/>
      <c r="B29" s="38" t="s">
        <v>259</v>
      </c>
      <c r="C29" s="38"/>
      <c r="D29" s="38"/>
      <c r="E29" s="32"/>
      <c r="F29" s="32"/>
      <c r="G29" s="1"/>
    </row>
    <row r="30" spans="1:7" ht="15" customHeight="1" x14ac:dyDescent="0.25">
      <c r="A30" s="1"/>
      <c r="B30" s="85" t="s">
        <v>260</v>
      </c>
      <c r="C30" s="86"/>
      <c r="D30" s="86"/>
      <c r="E30" s="46">
        <v>0</v>
      </c>
      <c r="F30" s="11" t="s">
        <v>3</v>
      </c>
      <c r="G30" s="1"/>
    </row>
    <row r="31" spans="1:7" ht="15" customHeight="1" x14ac:dyDescent="0.25">
      <c r="A31" s="1"/>
      <c r="B31" s="38" t="s">
        <v>261</v>
      </c>
      <c r="C31" s="38"/>
      <c r="D31" s="38"/>
      <c r="E31" s="32"/>
      <c r="F31" s="32"/>
      <c r="G31" s="1"/>
    </row>
    <row r="32" spans="1:7" ht="15" customHeight="1" x14ac:dyDescent="0.25">
      <c r="A32" s="1"/>
      <c r="B32" s="85" t="s">
        <v>262</v>
      </c>
      <c r="C32" s="86"/>
      <c r="D32" s="86"/>
      <c r="E32" s="46">
        <v>0</v>
      </c>
      <c r="F32" s="11" t="s">
        <v>3</v>
      </c>
      <c r="G32" s="1"/>
    </row>
    <row r="33" spans="1:7" x14ac:dyDescent="0.25">
      <c r="A33" s="1"/>
      <c r="B33" s="38" t="s">
        <v>263</v>
      </c>
      <c r="C33" s="32"/>
      <c r="D33" s="32"/>
      <c r="E33" s="32"/>
      <c r="F33" s="32"/>
      <c r="G33" s="1"/>
    </row>
    <row r="34" spans="1:7" ht="15.4" customHeight="1" x14ac:dyDescent="0.25">
      <c r="A34" s="1"/>
      <c r="B34" s="85" t="s">
        <v>264</v>
      </c>
      <c r="C34" s="86"/>
      <c r="D34" s="87"/>
      <c r="E34" s="10">
        <v>158974.76862039478</v>
      </c>
      <c r="F34" s="11" t="s">
        <v>3</v>
      </c>
      <c r="G34" s="1"/>
    </row>
    <row r="35" spans="1:7" x14ac:dyDescent="0.25">
      <c r="A35" s="1"/>
      <c r="B35" s="38" t="s">
        <v>26</v>
      </c>
      <c r="C35" s="32"/>
      <c r="D35" s="20"/>
      <c r="E35" s="12">
        <f>E20+E22+E24+E28+E30+E32+E34</f>
        <v>55257176.832030855</v>
      </c>
      <c r="F35" s="13" t="s">
        <v>3</v>
      </c>
      <c r="G35" s="1"/>
    </row>
    <row r="36" spans="1:7" ht="27" customHeight="1" x14ac:dyDescent="0.25">
      <c r="A36" s="1"/>
      <c r="B36" s="79" t="s">
        <v>218</v>
      </c>
      <c r="C36" s="80"/>
      <c r="D36" s="80"/>
      <c r="E36" s="80"/>
      <c r="F36" s="8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</sheetData>
  <sheetProtection algorithmName="SHA-512" hashValue="MkrGi4cQ8giZ+tOKTP+Mgw9iEn6IKIXLqG7fsQhxCNwrjrt9g4qH22tFzoIm4hsnrApBkTuALT+QnxCIHiYo/w==" saltValue="BPl1RmQ8157pOD7zRoGjfw==" spinCount="100000" sheet="1" objects="1" scenarios="1"/>
  <mergeCells count="21">
    <mergeCell ref="B36:F36"/>
    <mergeCell ref="B27:D27"/>
    <mergeCell ref="B28:D28"/>
    <mergeCell ref="B32:D32"/>
    <mergeCell ref="B30:D30"/>
    <mergeCell ref="B3:F4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6:D26"/>
    <mergeCell ref="B34:D34"/>
    <mergeCell ref="B22:D22"/>
    <mergeCell ref="B23:D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56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ht="15" customHeight="1" x14ac:dyDescent="0.25">
      <c r="A1" s="1"/>
      <c r="B1" s="43"/>
      <c r="C1" s="43"/>
      <c r="D1" s="43"/>
      <c r="E1" s="43"/>
      <c r="F1" s="43"/>
      <c r="G1" s="43"/>
      <c r="H1" s="43"/>
      <c r="I1" s="1"/>
    </row>
    <row r="2" spans="1:9" ht="15" customHeight="1" x14ac:dyDescent="0.25">
      <c r="A2" s="1"/>
      <c r="B2" s="91" t="s">
        <v>163</v>
      </c>
      <c r="C2" s="91"/>
      <c r="D2" s="91"/>
      <c r="E2" s="91"/>
      <c r="F2" s="91"/>
      <c r="G2" s="91"/>
      <c r="H2" s="91"/>
      <c r="I2" s="1"/>
    </row>
    <row r="3" spans="1:9" ht="28.5" customHeight="1" x14ac:dyDescent="0.25">
      <c r="A3" s="1"/>
      <c r="B3" s="91"/>
      <c r="C3" s="91"/>
      <c r="D3" s="91"/>
      <c r="E3" s="91"/>
      <c r="F3" s="91"/>
      <c r="G3" s="91"/>
      <c r="H3" s="91"/>
      <c r="I3" s="1"/>
    </row>
    <row r="4" spans="1:9" ht="14.25" customHeight="1" x14ac:dyDescent="0.25">
      <c r="A4" s="1"/>
      <c r="B4" s="43"/>
      <c r="C4" s="43"/>
      <c r="D4" s="43"/>
      <c r="E4" s="43"/>
      <c r="F4" s="43"/>
      <c r="G4" s="43"/>
      <c r="H4" s="43"/>
      <c r="I4" s="1"/>
    </row>
    <row r="5" spans="1:9" x14ac:dyDescent="0.25">
      <c r="A5" s="1"/>
      <c r="B5" s="88" t="s">
        <v>67</v>
      </c>
      <c r="C5" s="89"/>
      <c r="D5" s="89"/>
      <c r="E5" s="89"/>
      <c r="F5" s="89"/>
      <c r="G5" s="89"/>
      <c r="H5" s="90"/>
      <c r="I5" s="1"/>
    </row>
    <row r="6" spans="1:9" x14ac:dyDescent="0.25">
      <c r="A6" s="1"/>
      <c r="B6" s="94" t="s">
        <v>56</v>
      </c>
      <c r="C6" s="95"/>
      <c r="D6" s="95"/>
      <c r="E6" s="95"/>
      <c r="F6" s="96"/>
      <c r="G6" s="24">
        <v>6252587</v>
      </c>
      <c r="H6" s="14" t="s">
        <v>3</v>
      </c>
      <c r="I6" s="1"/>
    </row>
    <row r="7" spans="1:9" x14ac:dyDescent="0.25">
      <c r="A7" s="1"/>
      <c r="B7" s="79" t="s">
        <v>181</v>
      </c>
      <c r="C7" s="80"/>
      <c r="D7" s="80"/>
      <c r="E7" s="80"/>
      <c r="F7" s="81"/>
      <c r="G7" s="24">
        <v>216810</v>
      </c>
      <c r="H7" s="14" t="s">
        <v>3</v>
      </c>
      <c r="I7" s="1"/>
    </row>
    <row r="8" spans="1:9" x14ac:dyDescent="0.25">
      <c r="A8" s="1"/>
      <c r="B8" s="94" t="s">
        <v>57</v>
      </c>
      <c r="C8" s="95"/>
      <c r="D8" s="95"/>
      <c r="E8" s="95"/>
      <c r="F8" s="96"/>
      <c r="G8" s="24">
        <f>SUM(G6:G7)*'Fane 14. Nøgletal'!C27</f>
        <v>129387.94</v>
      </c>
      <c r="H8" s="14" t="s">
        <v>3</v>
      </c>
      <c r="I8" s="1"/>
    </row>
    <row r="9" spans="1:9" x14ac:dyDescent="0.25">
      <c r="A9" s="1"/>
      <c r="B9" s="38"/>
      <c r="C9" s="32"/>
      <c r="D9" s="32"/>
      <c r="E9" s="32"/>
      <c r="F9" s="32"/>
      <c r="G9" s="32"/>
      <c r="H9" s="20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88" t="s">
        <v>68</v>
      </c>
      <c r="C11" s="89"/>
      <c r="D11" s="89"/>
      <c r="E11" s="89"/>
      <c r="F11" s="89"/>
      <c r="G11" s="89"/>
      <c r="H11" s="90"/>
      <c r="I11" s="1"/>
    </row>
    <row r="12" spans="1:9" x14ac:dyDescent="0.25">
      <c r="A12" s="1"/>
      <c r="B12" s="94" t="s">
        <v>58</v>
      </c>
      <c r="C12" s="95"/>
      <c r="D12" s="95"/>
      <c r="E12" s="95"/>
      <c r="F12" s="96"/>
      <c r="G12" s="24">
        <f>(G6-G8)*(1+'Fane 14. Nøgletal'!C10)</f>
        <v>6230355.0435499996</v>
      </c>
      <c r="H12" s="14" t="s">
        <v>3</v>
      </c>
      <c r="I12" s="1"/>
    </row>
    <row r="13" spans="1:9" ht="15" customHeight="1" x14ac:dyDescent="0.25">
      <c r="A13" s="1"/>
      <c r="B13" s="94" t="s">
        <v>182</v>
      </c>
      <c r="C13" s="95"/>
      <c r="D13" s="95"/>
      <c r="E13" s="95"/>
      <c r="F13" s="96"/>
      <c r="G13" s="24">
        <f>(5786258.80671585-G6)*1.0175</f>
        <v>-474488.93666662287</v>
      </c>
      <c r="H13" s="14" t="s">
        <v>3</v>
      </c>
      <c r="I13" s="1"/>
    </row>
    <row r="14" spans="1:9" x14ac:dyDescent="0.25">
      <c r="A14" s="1"/>
      <c r="B14" s="79" t="s">
        <v>179</v>
      </c>
      <c r="C14" s="80"/>
      <c r="D14" s="80"/>
      <c r="E14" s="80"/>
      <c r="F14" s="81"/>
      <c r="G14" s="24">
        <v>220604.17500000002</v>
      </c>
      <c r="H14" s="14" t="s">
        <v>3</v>
      </c>
      <c r="I14" s="1"/>
    </row>
    <row r="15" spans="1:9" x14ac:dyDescent="0.25">
      <c r="A15" s="1"/>
      <c r="B15" s="97" t="s">
        <v>59</v>
      </c>
      <c r="C15" s="98"/>
      <c r="D15" s="98"/>
      <c r="E15" s="98"/>
      <c r="F15" s="99"/>
      <c r="G15" s="114">
        <v>0</v>
      </c>
      <c r="H15" s="14" t="s">
        <v>3</v>
      </c>
      <c r="I15" s="1"/>
    </row>
    <row r="16" spans="1:9" x14ac:dyDescent="0.25">
      <c r="A16" s="1"/>
      <c r="B16" s="94" t="s">
        <v>60</v>
      </c>
      <c r="C16" s="95"/>
      <c r="D16" s="95"/>
      <c r="E16" s="95"/>
      <c r="F16" s="96"/>
      <c r="G16" s="24">
        <f>SUM(G12:G15)*'Fane 14. Nøgletal'!C27</f>
        <v>119529.40563766753</v>
      </c>
      <c r="H16" s="14" t="s">
        <v>3</v>
      </c>
      <c r="I16" s="1"/>
    </row>
    <row r="17" spans="1:9" x14ac:dyDescent="0.25">
      <c r="A17" s="1"/>
      <c r="B17" s="38"/>
      <c r="C17" s="32"/>
      <c r="D17" s="32"/>
      <c r="E17" s="32"/>
      <c r="F17" s="32"/>
      <c r="G17" s="32"/>
      <c r="H17" s="20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88" t="s">
        <v>69</v>
      </c>
      <c r="C19" s="89"/>
      <c r="D19" s="89"/>
      <c r="E19" s="89"/>
      <c r="F19" s="89"/>
      <c r="G19" s="89"/>
      <c r="H19" s="90"/>
      <c r="I19" s="1"/>
    </row>
    <row r="20" spans="1:9" x14ac:dyDescent="0.25">
      <c r="A20" s="1"/>
      <c r="B20" s="94" t="s">
        <v>61</v>
      </c>
      <c r="C20" s="95"/>
      <c r="D20" s="95"/>
      <c r="E20" s="95"/>
      <c r="F20" s="96"/>
      <c r="G20" s="24">
        <f>(SUM(G12:G13,G15)-(G16))*(1+'Fane 14. Nøgletal'!C10)</f>
        <v>5734972.5935175093</v>
      </c>
      <c r="H20" s="14" t="s">
        <v>3</v>
      </c>
      <c r="I20" s="1"/>
    </row>
    <row r="21" spans="1:9" x14ac:dyDescent="0.25">
      <c r="A21" s="1"/>
      <c r="B21" s="97" t="s">
        <v>62</v>
      </c>
      <c r="C21" s="98"/>
      <c r="D21" s="98"/>
      <c r="E21" s="98"/>
      <c r="F21" s="99"/>
      <c r="G21" s="114">
        <v>0</v>
      </c>
      <c r="H21" s="14" t="s">
        <v>3</v>
      </c>
      <c r="I21" s="1"/>
    </row>
    <row r="22" spans="1:9" x14ac:dyDescent="0.25">
      <c r="A22" s="1"/>
      <c r="B22" s="94" t="s">
        <v>63</v>
      </c>
      <c r="C22" s="95"/>
      <c r="D22" s="95"/>
      <c r="E22" s="95"/>
      <c r="F22" s="96"/>
      <c r="G22" s="24">
        <f>SUM(G20:G21)*'Fane 14. Nøgletal'!C27</f>
        <v>114699.45187035018</v>
      </c>
      <c r="H22" s="14" t="s">
        <v>3</v>
      </c>
      <c r="I22" s="1"/>
    </row>
    <row r="23" spans="1:9" x14ac:dyDescent="0.25">
      <c r="A23" s="1"/>
      <c r="B23" s="38"/>
      <c r="C23" s="32"/>
      <c r="D23" s="32"/>
      <c r="E23" s="32"/>
      <c r="F23" s="32"/>
      <c r="G23" s="32"/>
      <c r="H23" s="20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88" t="s">
        <v>70</v>
      </c>
      <c r="C25" s="89"/>
      <c r="D25" s="89"/>
      <c r="E25" s="89"/>
      <c r="F25" s="89"/>
      <c r="G25" s="89"/>
      <c r="H25" s="90"/>
      <c r="I25" s="1"/>
    </row>
    <row r="26" spans="1:9" x14ac:dyDescent="0.25">
      <c r="A26" s="1"/>
      <c r="B26" s="94" t="s">
        <v>64</v>
      </c>
      <c r="C26" s="95"/>
      <c r="D26" s="95"/>
      <c r="E26" s="95"/>
      <c r="F26" s="96"/>
      <c r="G26" s="24">
        <f>(G20+G21-G22)*(1+'Fane 14. Nøgletal'!C12)</f>
        <v>5730992.5225376086</v>
      </c>
      <c r="H26" s="14" t="s">
        <v>3</v>
      </c>
      <c r="I26" s="1"/>
    </row>
    <row r="27" spans="1:9" x14ac:dyDescent="0.25">
      <c r="A27" s="1"/>
      <c r="B27" s="97" t="s">
        <v>65</v>
      </c>
      <c r="C27" s="98"/>
      <c r="D27" s="98"/>
      <c r="E27" s="98"/>
      <c r="F27" s="99"/>
      <c r="G27" s="114">
        <v>0</v>
      </c>
      <c r="H27" s="14" t="s">
        <v>3</v>
      </c>
      <c r="I27" s="1"/>
    </row>
    <row r="28" spans="1:9" x14ac:dyDescent="0.25">
      <c r="A28" s="1"/>
      <c r="B28" s="94" t="s">
        <v>66</v>
      </c>
      <c r="C28" s="95"/>
      <c r="D28" s="95"/>
      <c r="E28" s="95"/>
      <c r="F28" s="96"/>
      <c r="G28" s="24">
        <f>(G26+G27)*'Fane 14. Nøgletal'!C27</f>
        <v>114619.85045075217</v>
      </c>
      <c r="H28" s="14" t="s">
        <v>3</v>
      </c>
      <c r="I28" s="1"/>
    </row>
    <row r="29" spans="1:9" x14ac:dyDescent="0.25">
      <c r="A29" s="1"/>
      <c r="B29" s="38"/>
      <c r="C29" s="32"/>
      <c r="D29" s="32"/>
      <c r="E29" s="32"/>
      <c r="F29" s="32"/>
      <c r="G29" s="32"/>
      <c r="H29" s="20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88" t="s">
        <v>73</v>
      </c>
      <c r="C31" s="89"/>
      <c r="D31" s="89"/>
      <c r="E31" s="89"/>
      <c r="F31" s="89"/>
      <c r="G31" s="89"/>
      <c r="H31" s="90"/>
      <c r="I31" s="1"/>
    </row>
    <row r="32" spans="1:9" x14ac:dyDescent="0.25">
      <c r="A32" s="1"/>
      <c r="B32" s="94" t="s">
        <v>74</v>
      </c>
      <c r="C32" s="95"/>
      <c r="D32" s="95"/>
      <c r="E32" s="95"/>
      <c r="F32" s="96"/>
      <c r="G32" s="24">
        <f>(G26+G27-G28)*(1+'Fane 14. Nøgletal'!C12)</f>
        <v>5727015.2137269676</v>
      </c>
      <c r="H32" s="14" t="s">
        <v>3</v>
      </c>
      <c r="I32" s="1"/>
    </row>
    <row r="33" spans="1:9" x14ac:dyDescent="0.25">
      <c r="A33" s="1"/>
      <c r="B33" s="94" t="s">
        <v>230</v>
      </c>
      <c r="C33" s="95"/>
      <c r="D33" s="95"/>
      <c r="E33" s="95"/>
      <c r="F33" s="96"/>
      <c r="G33" s="24">
        <f>SUM('Fane 2.1. Økonomisk ramme 2021'!C10,'Fane 2.1. Økonomisk ramme 2021'!C12,'Fane 2.1. Økonomisk ramme 2021'!C14)*(1+'Fane 14. Nøgletal'!C13)</f>
        <v>32713.844461199998</v>
      </c>
      <c r="H33" s="14" t="s">
        <v>3</v>
      </c>
      <c r="I33" s="1"/>
    </row>
    <row r="34" spans="1:9" x14ac:dyDescent="0.25">
      <c r="A34" s="1"/>
      <c r="B34" s="94" t="s">
        <v>75</v>
      </c>
      <c r="C34" s="95"/>
      <c r="D34" s="95"/>
      <c r="E34" s="95"/>
      <c r="F34" s="96"/>
      <c r="G34" s="24">
        <f>(G32+G33)*'Fane 14. Nøgletal'!C27</f>
        <v>115194.58116376335</v>
      </c>
      <c r="H34" s="14" t="s">
        <v>3</v>
      </c>
      <c r="I34" s="1"/>
    </row>
    <row r="35" spans="1:9" x14ac:dyDescent="0.25">
      <c r="A35" s="1"/>
      <c r="B35" s="38"/>
      <c r="C35" s="32"/>
      <c r="D35" s="32"/>
      <c r="E35" s="32"/>
      <c r="F35" s="32"/>
      <c r="G35" s="32"/>
      <c r="H35" s="20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88" t="s">
        <v>100</v>
      </c>
      <c r="C37" s="89"/>
      <c r="D37" s="89"/>
      <c r="E37" s="89"/>
      <c r="F37" s="89"/>
      <c r="G37" s="89"/>
      <c r="H37" s="90"/>
      <c r="I37" s="1"/>
    </row>
    <row r="38" spans="1:9" x14ac:dyDescent="0.25">
      <c r="A38" s="1"/>
      <c r="B38" s="94" t="s">
        <v>99</v>
      </c>
      <c r="C38" s="95"/>
      <c r="D38" s="95"/>
      <c r="E38" s="95"/>
      <c r="F38" s="96"/>
      <c r="G38" s="24">
        <f>(G32+G33-G34)*(1+'Fane 14. Nøgletal'!C13)</f>
        <v>5713397.797644102</v>
      </c>
      <c r="H38" s="14" t="s">
        <v>3</v>
      </c>
      <c r="I38" s="1"/>
    </row>
    <row r="39" spans="1:9" x14ac:dyDescent="0.25">
      <c r="A39" s="1"/>
      <c r="B39" s="94" t="s">
        <v>117</v>
      </c>
      <c r="C39" s="95"/>
      <c r="D39" s="95"/>
      <c r="E39" s="95"/>
      <c r="F39" s="96"/>
      <c r="G39" s="24">
        <f>-'Fane 13. Bortfald'!C18*(1+'Fane 14. Nøgletal'!C13)</f>
        <v>0</v>
      </c>
      <c r="H39" s="14" t="s">
        <v>3</v>
      </c>
      <c r="I39" s="1"/>
    </row>
    <row r="40" spans="1:9" x14ac:dyDescent="0.25">
      <c r="A40" s="1"/>
      <c r="B40" s="94" t="s">
        <v>76</v>
      </c>
      <c r="C40" s="95"/>
      <c r="D40" s="95"/>
      <c r="E40" s="95"/>
      <c r="F40" s="96"/>
      <c r="G40" s="24">
        <f>(G38+G39)*'Fane 14. Nøgletal'!C27</f>
        <v>114267.95595288204</v>
      </c>
      <c r="H40" s="14" t="s">
        <v>3</v>
      </c>
      <c r="I40" s="1"/>
    </row>
    <row r="41" spans="1:9" x14ac:dyDescent="0.25">
      <c r="A41" s="1"/>
      <c r="B41" s="38"/>
      <c r="C41" s="32"/>
      <c r="D41" s="32"/>
      <c r="E41" s="32"/>
      <c r="F41" s="32"/>
      <c r="G41" s="32"/>
      <c r="H41" s="20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88" t="s">
        <v>101</v>
      </c>
      <c r="C43" s="89"/>
      <c r="D43" s="89"/>
      <c r="E43" s="89"/>
      <c r="F43" s="89"/>
      <c r="G43" s="89"/>
      <c r="H43" s="90"/>
      <c r="I43" s="1"/>
    </row>
    <row r="44" spans="1:9" x14ac:dyDescent="0.25">
      <c r="A44" s="1"/>
      <c r="B44" s="94" t="s">
        <v>98</v>
      </c>
      <c r="C44" s="95"/>
      <c r="D44" s="95"/>
      <c r="E44" s="95"/>
      <c r="F44" s="96"/>
      <c r="G44" s="24">
        <f>(G38+G39-G40)*(1+'Fane 14. Nøgletal'!C13)</f>
        <v>5667439.2257598527</v>
      </c>
      <c r="H44" s="14" t="s">
        <v>3</v>
      </c>
      <c r="I44" s="1"/>
    </row>
    <row r="45" spans="1:9" x14ac:dyDescent="0.25">
      <c r="A45" s="1"/>
      <c r="B45" s="94" t="s">
        <v>118</v>
      </c>
      <c r="C45" s="95"/>
      <c r="D45" s="95"/>
      <c r="E45" s="95"/>
      <c r="F45" s="96"/>
      <c r="G45" s="24">
        <f>-'Fane 13. Bortfald'!C24*(1+'Fane 14. Nøgletal'!C13)</f>
        <v>0</v>
      </c>
      <c r="H45" s="14" t="s">
        <v>3</v>
      </c>
      <c r="I45" s="1"/>
    </row>
    <row r="46" spans="1:9" x14ac:dyDescent="0.25">
      <c r="A46" s="1"/>
      <c r="B46" s="94" t="s">
        <v>77</v>
      </c>
      <c r="C46" s="95"/>
      <c r="D46" s="95"/>
      <c r="E46" s="95"/>
      <c r="F46" s="96"/>
      <c r="G46" s="24">
        <f>(G44+G45)*'Fane 14. Nøgletal'!C27</f>
        <v>113348.78451519705</v>
      </c>
      <c r="H46" s="14" t="s">
        <v>3</v>
      </c>
      <c r="I46" s="1"/>
    </row>
    <row r="47" spans="1:9" x14ac:dyDescent="0.25">
      <c r="A47" s="1"/>
      <c r="B47" s="38"/>
      <c r="C47" s="32"/>
      <c r="D47" s="32"/>
      <c r="E47" s="32"/>
      <c r="F47" s="32"/>
      <c r="G47" s="32"/>
      <c r="H47" s="20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88" t="s">
        <v>231</v>
      </c>
      <c r="C51" s="89"/>
      <c r="D51" s="89"/>
      <c r="E51" s="89"/>
      <c r="F51" s="89"/>
      <c r="G51" s="89"/>
      <c r="H51" s="90"/>
      <c r="I51" s="1"/>
    </row>
    <row r="52" spans="1:9" x14ac:dyDescent="0.25">
      <c r="A52" s="1"/>
      <c r="B52" s="94" t="s">
        <v>232</v>
      </c>
      <c r="C52" s="95"/>
      <c r="D52" s="95"/>
      <c r="E52" s="95"/>
      <c r="F52" s="96"/>
      <c r="G52" s="24">
        <f>(G44+G45-G46)*(1+'Fane 14. Nøgletal'!C13)</f>
        <v>5621850.3446278404</v>
      </c>
      <c r="H52" s="14" t="s">
        <v>3</v>
      </c>
      <c r="I52" s="1"/>
    </row>
    <row r="53" spans="1:9" x14ac:dyDescent="0.25">
      <c r="A53" s="1"/>
      <c r="B53" s="94" t="s">
        <v>233</v>
      </c>
      <c r="C53" s="95"/>
      <c r="D53" s="95"/>
      <c r="E53" s="95"/>
      <c r="F53" s="96"/>
      <c r="G53" s="24">
        <f>-'Fane 13. Bortfald'!C30*(1+'Fane 14. Nøgletal'!C13)</f>
        <v>0</v>
      </c>
      <c r="H53" s="14" t="s">
        <v>3</v>
      </c>
      <c r="I53" s="1"/>
    </row>
    <row r="54" spans="1:9" x14ac:dyDescent="0.25">
      <c r="A54" s="1"/>
      <c r="B54" s="94" t="s">
        <v>234</v>
      </c>
      <c r="C54" s="95"/>
      <c r="D54" s="95"/>
      <c r="E54" s="95"/>
      <c r="F54" s="96"/>
      <c r="G54" s="24">
        <f>(G52+G53)*'Fane 14. Nøgletal'!C27</f>
        <v>112437.0068925568</v>
      </c>
      <c r="H54" s="14" t="s">
        <v>3</v>
      </c>
      <c r="I54" s="1"/>
    </row>
    <row r="55" spans="1:9" x14ac:dyDescent="0.25">
      <c r="A55" s="1"/>
      <c r="B55" s="38"/>
      <c r="C55" s="32"/>
      <c r="D55" s="32"/>
      <c r="E55" s="32"/>
      <c r="F55" s="32"/>
      <c r="G55" s="32"/>
      <c r="H55" s="20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</sheetData>
  <sheetProtection algorithmName="SHA-512" hashValue="2bVLV9uD0BZLHbLoXMAE17MwUZnkj/fTQ+9xAf+JLN8WCzVUWnHspE2Z0ibGm1siamFFS5vdf4VRr/CTXooceg==" saltValue="1cJAMqSpZNDDZG9tgJcDZQ==" spinCount="100000" sheet="1" objects="1" scenarios="1"/>
  <mergeCells count="35">
    <mergeCell ref="B51:H51"/>
    <mergeCell ref="B52:F52"/>
    <mergeCell ref="B53:F53"/>
    <mergeCell ref="B54:F54"/>
    <mergeCell ref="B13:F13"/>
    <mergeCell ref="B14:F14"/>
    <mergeCell ref="B31:H31"/>
    <mergeCell ref="B32:F32"/>
    <mergeCell ref="B37:H37"/>
    <mergeCell ref="B19:H19"/>
    <mergeCell ref="B15:F15"/>
    <mergeCell ref="B16:F16"/>
    <mergeCell ref="B20:F20"/>
    <mergeCell ref="B21:F21"/>
    <mergeCell ref="B22:F22"/>
    <mergeCell ref="B26:F26"/>
    <mergeCell ref="B27:F27"/>
    <mergeCell ref="B28:F28"/>
    <mergeCell ref="B38:F38"/>
    <mergeCell ref="B33:F33"/>
    <mergeCell ref="B34:F34"/>
    <mergeCell ref="B43:H43"/>
    <mergeCell ref="B44:F44"/>
    <mergeCell ref="B46:F46"/>
    <mergeCell ref="B39:F39"/>
    <mergeCell ref="B45:F45"/>
    <mergeCell ref="B40:F40"/>
    <mergeCell ref="B12:F12"/>
    <mergeCell ref="B11:H11"/>
    <mergeCell ref="B7:F7"/>
    <mergeCell ref="B2:H3"/>
    <mergeCell ref="B25:H25"/>
    <mergeCell ref="B5:H5"/>
    <mergeCell ref="B6:F6"/>
    <mergeCell ref="B8:F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ht="14.25" customHeight="1" x14ac:dyDescent="0.25">
      <c r="A1" s="1"/>
      <c r="B1" s="100" t="s">
        <v>164</v>
      </c>
      <c r="C1" s="100"/>
      <c r="D1" s="100"/>
      <c r="E1" s="100"/>
      <c r="F1" s="100"/>
      <c r="G1" s="100"/>
      <c r="H1" s="100"/>
      <c r="I1" s="1"/>
    </row>
    <row r="2" spans="1:9" ht="15" customHeight="1" x14ac:dyDescent="0.25">
      <c r="A2" s="1"/>
      <c r="B2" s="100"/>
      <c r="C2" s="100"/>
      <c r="D2" s="100"/>
      <c r="E2" s="100"/>
      <c r="F2" s="100"/>
      <c r="G2" s="100"/>
      <c r="H2" s="100"/>
      <c r="I2" s="1"/>
    </row>
    <row r="3" spans="1:9" ht="15" customHeight="1" x14ac:dyDescent="0.25">
      <c r="A3" s="1"/>
      <c r="B3" s="101"/>
      <c r="C3" s="101"/>
      <c r="D3" s="101"/>
      <c r="E3" s="101"/>
      <c r="F3" s="101"/>
      <c r="G3" s="101"/>
      <c r="H3" s="101"/>
      <c r="I3" s="1"/>
    </row>
    <row r="4" spans="1:9" x14ac:dyDescent="0.25">
      <c r="A4" s="1"/>
      <c r="B4" s="88" t="s">
        <v>71</v>
      </c>
      <c r="C4" s="89"/>
      <c r="D4" s="89"/>
      <c r="E4" s="89"/>
      <c r="F4" s="89"/>
      <c r="G4" s="89"/>
      <c r="H4" s="90"/>
      <c r="I4" s="1"/>
    </row>
    <row r="5" spans="1:9" x14ac:dyDescent="0.25">
      <c r="A5" s="1"/>
      <c r="B5" s="94" t="s">
        <v>78</v>
      </c>
      <c r="C5" s="95"/>
      <c r="D5" s="95"/>
      <c r="E5" s="95"/>
      <c r="F5" s="96"/>
      <c r="G5" s="24">
        <v>29490879</v>
      </c>
      <c r="H5" s="14" t="s">
        <v>3</v>
      </c>
      <c r="I5" s="1"/>
    </row>
    <row r="6" spans="1:9" x14ac:dyDescent="0.25">
      <c r="A6" s="1"/>
      <c r="B6" s="94" t="s">
        <v>72</v>
      </c>
      <c r="C6" s="95"/>
      <c r="D6" s="95"/>
      <c r="E6" s="95"/>
      <c r="F6" s="96"/>
      <c r="G6" s="24">
        <f>G5*'Fane 14. Nøgletal'!C18</f>
        <v>268366.99890000001</v>
      </c>
      <c r="H6" s="14" t="s">
        <v>3</v>
      </c>
      <c r="I6" s="1"/>
    </row>
    <row r="7" spans="1:9" x14ac:dyDescent="0.25">
      <c r="A7" s="1"/>
      <c r="B7" s="38"/>
      <c r="C7" s="32"/>
      <c r="D7" s="32"/>
      <c r="E7" s="32"/>
      <c r="F7" s="32"/>
      <c r="G7" s="32"/>
      <c r="H7" s="20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88" t="s">
        <v>79</v>
      </c>
      <c r="C9" s="89"/>
      <c r="D9" s="89"/>
      <c r="E9" s="89"/>
      <c r="F9" s="89"/>
      <c r="G9" s="89"/>
      <c r="H9" s="90"/>
      <c r="I9" s="1"/>
    </row>
    <row r="10" spans="1:9" x14ac:dyDescent="0.25">
      <c r="A10" s="1"/>
      <c r="B10" s="94" t="s">
        <v>80</v>
      </c>
      <c r="C10" s="95"/>
      <c r="D10" s="95"/>
      <c r="E10" s="95"/>
      <c r="F10" s="96"/>
      <c r="G10" s="24">
        <f>(G5-G6)*(1+'Fane 14. Nøgletal'!C10)</f>
        <v>29733905.961119253</v>
      </c>
      <c r="H10" s="14" t="s">
        <v>3</v>
      </c>
      <c r="I10" s="1"/>
    </row>
    <row r="11" spans="1:9" x14ac:dyDescent="0.25">
      <c r="A11" s="1"/>
      <c r="B11" s="94" t="s">
        <v>183</v>
      </c>
      <c r="C11" s="95"/>
      <c r="D11" s="95"/>
      <c r="E11" s="95"/>
      <c r="F11" s="96"/>
      <c r="G11" s="24">
        <f>(29434724.0866143-G5)*1.0175</f>
        <v>-57137.624369950194</v>
      </c>
      <c r="H11" s="14" t="s">
        <v>3</v>
      </c>
      <c r="I11" s="1"/>
    </row>
    <row r="12" spans="1:9" x14ac:dyDescent="0.25">
      <c r="A12" s="1"/>
      <c r="B12" s="97" t="s">
        <v>81</v>
      </c>
      <c r="C12" s="98"/>
      <c r="D12" s="98"/>
      <c r="E12" s="98"/>
      <c r="F12" s="99"/>
      <c r="G12" s="114">
        <v>0</v>
      </c>
      <c r="H12" s="14" t="s">
        <v>3</v>
      </c>
      <c r="I12" s="1"/>
    </row>
    <row r="13" spans="1:9" x14ac:dyDescent="0.25">
      <c r="A13" s="1"/>
      <c r="B13" s="94" t="s">
        <v>82</v>
      </c>
      <c r="C13" s="95"/>
      <c r="D13" s="95"/>
      <c r="E13" s="95"/>
      <c r="F13" s="96"/>
      <c r="G13" s="24">
        <f>SUM(G10:G12)*'Fane 14. Nøgletal'!C19</f>
        <v>525278.79956046271</v>
      </c>
      <c r="H13" s="14" t="s">
        <v>3</v>
      </c>
      <c r="I13" s="1"/>
    </row>
    <row r="14" spans="1:9" x14ac:dyDescent="0.25">
      <c r="A14" s="1"/>
      <c r="B14" s="38"/>
      <c r="C14" s="32"/>
      <c r="D14" s="32"/>
      <c r="E14" s="32"/>
      <c r="F14" s="32"/>
      <c r="G14" s="32"/>
      <c r="H14" s="20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88" t="s">
        <v>83</v>
      </c>
      <c r="C16" s="89"/>
      <c r="D16" s="89"/>
      <c r="E16" s="89"/>
      <c r="F16" s="89"/>
      <c r="G16" s="89"/>
      <c r="H16" s="90"/>
      <c r="I16" s="1"/>
    </row>
    <row r="17" spans="1:9" x14ac:dyDescent="0.25">
      <c r="A17" s="1"/>
      <c r="B17" s="94" t="s">
        <v>84</v>
      </c>
      <c r="C17" s="95"/>
      <c r="D17" s="95"/>
      <c r="E17" s="95"/>
      <c r="F17" s="96"/>
      <c r="G17" s="24">
        <f>(SUM(G10:G12)-G13)*(1+'Fane 14. Nøgletal'!C10)</f>
        <v>29661640.604089651</v>
      </c>
      <c r="H17" s="14" t="s">
        <v>3</v>
      </c>
      <c r="I17" s="1"/>
    </row>
    <row r="18" spans="1:9" x14ac:dyDescent="0.25">
      <c r="A18" s="1"/>
      <c r="B18" s="97" t="s">
        <v>85</v>
      </c>
      <c r="C18" s="98"/>
      <c r="D18" s="98"/>
      <c r="E18" s="98"/>
      <c r="F18" s="99"/>
      <c r="G18" s="24">
        <v>1088703.9437489798</v>
      </c>
      <c r="H18" s="14" t="s">
        <v>3</v>
      </c>
      <c r="I18" s="1"/>
    </row>
    <row r="19" spans="1:9" x14ac:dyDescent="0.25">
      <c r="A19" s="1"/>
      <c r="B19" s="94" t="s">
        <v>86</v>
      </c>
      <c r="C19" s="95"/>
      <c r="D19" s="95"/>
      <c r="E19" s="95"/>
      <c r="F19" s="96"/>
      <c r="G19" s="24">
        <f>G17*'Fane 14. Nøgletal'!C19+G18*'Fane 14. Nøgletal'!C20</f>
        <v>534482.76300300297</v>
      </c>
      <c r="H19" s="14" t="s">
        <v>3</v>
      </c>
      <c r="I19" s="1"/>
    </row>
    <row r="20" spans="1:9" x14ac:dyDescent="0.25">
      <c r="A20" s="1"/>
      <c r="B20" s="38"/>
      <c r="C20" s="32"/>
      <c r="D20" s="32"/>
      <c r="E20" s="32"/>
      <c r="F20" s="32"/>
      <c r="G20" s="32"/>
      <c r="H20" s="20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88" t="s">
        <v>87</v>
      </c>
      <c r="C22" s="89"/>
      <c r="D22" s="89"/>
      <c r="E22" s="89"/>
      <c r="F22" s="89"/>
      <c r="G22" s="89"/>
      <c r="H22" s="90"/>
      <c r="I22" s="1"/>
    </row>
    <row r="23" spans="1:9" x14ac:dyDescent="0.25">
      <c r="A23" s="1"/>
      <c r="B23" s="94" t="s">
        <v>88</v>
      </c>
      <c r="C23" s="95"/>
      <c r="D23" s="95"/>
      <c r="E23" s="95"/>
      <c r="F23" s="96"/>
      <c r="G23" s="24">
        <f>(G17+G18-G19)*(1+'Fane 14. Nøgletal'!C12)</f>
        <v>30811114.261996891</v>
      </c>
      <c r="H23" s="14" t="s">
        <v>3</v>
      </c>
      <c r="I23" s="1"/>
    </row>
    <row r="24" spans="1:9" x14ac:dyDescent="0.25">
      <c r="A24" s="1"/>
      <c r="B24" s="97" t="s">
        <v>89</v>
      </c>
      <c r="C24" s="98"/>
      <c r="D24" s="98"/>
      <c r="E24" s="98"/>
      <c r="F24" s="99"/>
      <c r="G24" s="24">
        <v>609494.59497227415</v>
      </c>
      <c r="H24" s="14" t="s">
        <v>3</v>
      </c>
      <c r="I24" s="1"/>
    </row>
    <row r="25" spans="1:9" x14ac:dyDescent="0.25">
      <c r="A25" s="1"/>
      <c r="B25" s="94" t="s">
        <v>90</v>
      </c>
      <c r="C25" s="95"/>
      <c r="D25" s="95"/>
      <c r="E25" s="95"/>
      <c r="F25" s="96"/>
      <c r="G25" s="24">
        <f>(G23+G24)*'Fane 14. Nøgletal'!C21</f>
        <v>892345.29153792444</v>
      </c>
      <c r="H25" s="14" t="s">
        <v>3</v>
      </c>
      <c r="I25" s="1"/>
    </row>
    <row r="26" spans="1:9" x14ac:dyDescent="0.25">
      <c r="A26" s="1"/>
      <c r="B26" s="38"/>
      <c r="C26" s="32"/>
      <c r="D26" s="32"/>
      <c r="E26" s="32"/>
      <c r="F26" s="32"/>
      <c r="G26" s="32"/>
      <c r="H26" s="20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88" t="s">
        <v>91</v>
      </c>
      <c r="C28" s="89"/>
      <c r="D28" s="89"/>
      <c r="E28" s="89"/>
      <c r="F28" s="89"/>
      <c r="G28" s="89"/>
      <c r="H28" s="90"/>
      <c r="I28" s="1"/>
    </row>
    <row r="29" spans="1:9" x14ac:dyDescent="0.25">
      <c r="A29" s="1"/>
      <c r="B29" s="94" t="s">
        <v>92</v>
      </c>
      <c r="C29" s="95"/>
      <c r="D29" s="95"/>
      <c r="E29" s="95"/>
      <c r="F29" s="96"/>
      <c r="G29" s="24">
        <f>(G23+G24-G25)*(1+'Fane 14. Nøgletal'!C12)</f>
        <v>31129670.357670236</v>
      </c>
      <c r="H29" s="14" t="s">
        <v>3</v>
      </c>
      <c r="I29" s="1"/>
    </row>
    <row r="30" spans="1:9" x14ac:dyDescent="0.25">
      <c r="A30" s="1"/>
      <c r="B30" s="94" t="s">
        <v>235</v>
      </c>
      <c r="C30" s="95"/>
      <c r="D30" s="95"/>
      <c r="E30" s="95"/>
      <c r="F30" s="96"/>
      <c r="G30" s="24">
        <f>SUM('Fane 2.1. Økonomisk ramme 2021'!C11,'Fane 2.1. Økonomisk ramme 2021'!C13,'Fane 2.1. Økonomisk ramme 2021'!C15)*(1+'Fane 14. Nøgletal'!C13)</f>
        <v>778616.64872081997</v>
      </c>
      <c r="H30" s="14" t="s">
        <v>3</v>
      </c>
      <c r="I30" s="1"/>
    </row>
    <row r="31" spans="1:9" x14ac:dyDescent="0.25">
      <c r="A31" s="1"/>
      <c r="B31" s="94" t="s">
        <v>93</v>
      </c>
      <c r="C31" s="95"/>
      <c r="D31" s="95"/>
      <c r="E31" s="95"/>
      <c r="F31" s="96"/>
      <c r="G31" s="24">
        <f>G29*'Fane 14. Nøgletal'!C21+G30*'Fane 14. Nøgletal'!C22</f>
        <v>905494.59599765728</v>
      </c>
      <c r="H31" s="14" t="s">
        <v>3</v>
      </c>
      <c r="I31" s="1"/>
    </row>
    <row r="32" spans="1:9" x14ac:dyDescent="0.25">
      <c r="A32" s="1"/>
      <c r="B32" s="38"/>
      <c r="C32" s="32"/>
      <c r="D32" s="32"/>
      <c r="E32" s="32"/>
      <c r="F32" s="32"/>
      <c r="G32" s="32"/>
      <c r="H32" s="20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88" t="s">
        <v>102</v>
      </c>
      <c r="C34" s="89"/>
      <c r="D34" s="89"/>
      <c r="E34" s="89"/>
      <c r="F34" s="89"/>
      <c r="G34" s="89"/>
      <c r="H34" s="90"/>
      <c r="I34" s="1"/>
    </row>
    <row r="35" spans="1:9" x14ac:dyDescent="0.25">
      <c r="A35" s="1"/>
      <c r="B35" s="94" t="s">
        <v>97</v>
      </c>
      <c r="C35" s="95"/>
      <c r="D35" s="95"/>
      <c r="E35" s="95"/>
      <c r="F35" s="96"/>
      <c r="G35" s="24">
        <f>(G29+G30-G31)*(1+'Fane 14. Nøgletal'!C13)</f>
        <v>31381026.477800198</v>
      </c>
      <c r="H35" s="14" t="s">
        <v>3</v>
      </c>
      <c r="I35" s="1"/>
    </row>
    <row r="36" spans="1:9" x14ac:dyDescent="0.25">
      <c r="A36" s="1"/>
      <c r="B36" s="94" t="s">
        <v>122</v>
      </c>
      <c r="C36" s="95"/>
      <c r="D36" s="95"/>
      <c r="E36" s="95"/>
      <c r="F36" s="96"/>
      <c r="G36" s="24">
        <f>-'Fane 13. Bortfald'!E18*(1+'Fane 14. Nøgletal'!C12)</f>
        <v>0</v>
      </c>
      <c r="H36" s="14" t="s">
        <v>3</v>
      </c>
      <c r="I36" s="1"/>
    </row>
    <row r="37" spans="1:9" x14ac:dyDescent="0.25">
      <c r="A37" s="1"/>
      <c r="B37" s="94" t="s">
        <v>94</v>
      </c>
      <c r="C37" s="95"/>
      <c r="D37" s="95"/>
      <c r="E37" s="95"/>
      <c r="F37" s="96"/>
      <c r="G37" s="24">
        <f>(G35+G36)*'Fane 14. Nøgletal'!C22</f>
        <v>862978.22813950549</v>
      </c>
      <c r="H37" s="14" t="s">
        <v>3</v>
      </c>
      <c r="I37" s="1"/>
    </row>
    <row r="38" spans="1:9" x14ac:dyDescent="0.25">
      <c r="A38" s="1"/>
      <c r="B38" s="38"/>
      <c r="C38" s="32"/>
      <c r="D38" s="32"/>
      <c r="E38" s="32"/>
      <c r="F38" s="32"/>
      <c r="G38" s="32"/>
      <c r="H38" s="20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88" t="s">
        <v>103</v>
      </c>
      <c r="C40" s="89"/>
      <c r="D40" s="89"/>
      <c r="E40" s="89"/>
      <c r="F40" s="89"/>
      <c r="G40" s="89"/>
      <c r="H40" s="90"/>
      <c r="I40" s="1"/>
    </row>
    <row r="41" spans="1:9" x14ac:dyDescent="0.25">
      <c r="A41" s="1"/>
      <c r="B41" s="94" t="s">
        <v>96</v>
      </c>
      <c r="C41" s="95"/>
      <c r="D41" s="95"/>
      <c r="E41" s="95"/>
      <c r="F41" s="96"/>
      <c r="G41" s="24">
        <f>(G35+G36-G37)*(1+'Fane 14. Nøgletal'!C13)</f>
        <v>30890368.438306551</v>
      </c>
      <c r="H41" s="14" t="s">
        <v>3</v>
      </c>
      <c r="I41" s="1"/>
    </row>
    <row r="42" spans="1:9" x14ac:dyDescent="0.25">
      <c r="A42" s="1"/>
      <c r="B42" s="94" t="s">
        <v>123</v>
      </c>
      <c r="C42" s="95"/>
      <c r="D42" s="95"/>
      <c r="E42" s="95"/>
      <c r="F42" s="96"/>
      <c r="G42" s="24">
        <f>-'Fane 13. Bortfald'!E24*(1+'Fane 14. Nøgletal'!C13)</f>
        <v>0</v>
      </c>
      <c r="H42" s="14" t="s">
        <v>3</v>
      </c>
      <c r="I42" s="1"/>
    </row>
    <row r="43" spans="1:9" x14ac:dyDescent="0.25">
      <c r="A43" s="1"/>
      <c r="B43" s="94" t="s">
        <v>95</v>
      </c>
      <c r="C43" s="95"/>
      <c r="D43" s="95"/>
      <c r="E43" s="95"/>
      <c r="F43" s="96"/>
      <c r="G43" s="24">
        <f>(G41+G42)*'Fane 14. Nøgletal'!C22</f>
        <v>849485.13205343019</v>
      </c>
      <c r="H43" s="14" t="s">
        <v>3</v>
      </c>
      <c r="I43" s="1"/>
    </row>
    <row r="44" spans="1:9" x14ac:dyDescent="0.25">
      <c r="A44" s="1"/>
      <c r="B44" s="38"/>
      <c r="C44" s="32"/>
      <c r="D44" s="32"/>
      <c r="E44" s="32"/>
      <c r="F44" s="32"/>
      <c r="G44" s="32"/>
      <c r="H44" s="20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88" t="s">
        <v>240</v>
      </c>
      <c r="C46" s="89"/>
      <c r="D46" s="89"/>
      <c r="E46" s="89"/>
      <c r="F46" s="89"/>
      <c r="G46" s="89"/>
      <c r="H46" s="90"/>
      <c r="I46" s="1"/>
    </row>
    <row r="47" spans="1:9" x14ac:dyDescent="0.25">
      <c r="A47" s="1"/>
      <c r="B47" s="94" t="s">
        <v>241</v>
      </c>
      <c r="C47" s="95"/>
      <c r="D47" s="95"/>
      <c r="E47" s="95"/>
      <c r="F47" s="96"/>
      <c r="G47" s="24">
        <f>(G41+G42-G43)*(1+'Fane 14. Nøgletal'!C13)</f>
        <v>30407382.082589407</v>
      </c>
      <c r="H47" s="14" t="s">
        <v>3</v>
      </c>
      <c r="I47" s="1"/>
    </row>
    <row r="48" spans="1:9" x14ac:dyDescent="0.25">
      <c r="A48" s="1"/>
      <c r="B48" s="94" t="s">
        <v>242</v>
      </c>
      <c r="C48" s="95"/>
      <c r="D48" s="95"/>
      <c r="E48" s="95"/>
      <c r="F48" s="96"/>
      <c r="G48" s="24">
        <f>-'Fane 13. Bortfald'!E30*(1+'Fane 14. Nøgletal'!C13)</f>
        <v>0</v>
      </c>
      <c r="H48" s="14" t="s">
        <v>3</v>
      </c>
      <c r="I48" s="1"/>
    </row>
    <row r="49" spans="1:9" x14ac:dyDescent="0.25">
      <c r="A49" s="1"/>
      <c r="B49" s="94" t="s">
        <v>243</v>
      </c>
      <c r="C49" s="95"/>
      <c r="D49" s="95"/>
      <c r="E49" s="95"/>
      <c r="F49" s="96"/>
      <c r="G49" s="24">
        <f>(G47+G48)*'Fane 14. Nøgletal'!C22</f>
        <v>836203.00727120868</v>
      </c>
      <c r="H49" s="14" t="s">
        <v>3</v>
      </c>
      <c r="I49" s="1"/>
    </row>
    <row r="50" spans="1:9" x14ac:dyDescent="0.25">
      <c r="A50" s="1"/>
      <c r="B50" s="38"/>
      <c r="C50" s="32"/>
      <c r="D50" s="32"/>
      <c r="E50" s="32"/>
      <c r="F50" s="32"/>
      <c r="G50" s="32"/>
      <c r="H50" s="20"/>
      <c r="I50" s="1"/>
    </row>
  </sheetData>
  <sheetProtection algorithmName="SHA-512" hashValue="HQd8fu2O0UQyq2p+hofL0EMqAnN7doeOX7evJC7uq77yHQxLtsTOXW5Sjwp273kKZI9c/15OTZtAGUKy68mO0A==" saltValue="R6BR+4GKvvc/ldveeAxOaA==" spinCount="100000" sheet="1" objects="1" scenarios="1"/>
  <mergeCells count="33">
    <mergeCell ref="B42:F42"/>
    <mergeCell ref="B23:F23"/>
    <mergeCell ref="B24:F24"/>
    <mergeCell ref="B25:F25"/>
    <mergeCell ref="B37:F37"/>
    <mergeCell ref="B40:H40"/>
    <mergeCell ref="B41:F41"/>
    <mergeCell ref="B28:H28"/>
    <mergeCell ref="B29:F29"/>
    <mergeCell ref="B31:F31"/>
    <mergeCell ref="B34:H34"/>
    <mergeCell ref="B36:F36"/>
    <mergeCell ref="B17:F17"/>
    <mergeCell ref="B18:F18"/>
    <mergeCell ref="B30:F30"/>
    <mergeCell ref="B22:H22"/>
    <mergeCell ref="B11:F11"/>
    <mergeCell ref="B1:H3"/>
    <mergeCell ref="B46:H46"/>
    <mergeCell ref="B47:F47"/>
    <mergeCell ref="B48:F48"/>
    <mergeCell ref="B49:F49"/>
    <mergeCell ref="B35:F35"/>
    <mergeCell ref="B43:F43"/>
    <mergeCell ref="B19:F19"/>
    <mergeCell ref="B4:H4"/>
    <mergeCell ref="B5:F5"/>
    <mergeCell ref="B6:F6"/>
    <mergeCell ref="B9:H9"/>
    <mergeCell ref="B10:F10"/>
    <mergeCell ref="B12:F12"/>
    <mergeCell ref="B13:F13"/>
    <mergeCell ref="B16:H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7" t="s">
        <v>116</v>
      </c>
      <c r="C3" s="77"/>
      <c r="D3" s="77"/>
      <c r="E3" s="77"/>
      <c r="F3" s="77"/>
      <c r="G3" s="77"/>
      <c r="H3" s="77"/>
      <c r="I3" s="1"/>
    </row>
    <row r="4" spans="1:9" ht="15" customHeight="1" x14ac:dyDescent="0.25">
      <c r="A4" s="1"/>
      <c r="B4" s="77"/>
      <c r="C4" s="77"/>
      <c r="D4" s="77"/>
      <c r="E4" s="77"/>
      <c r="F4" s="77"/>
      <c r="G4" s="77"/>
      <c r="H4" s="7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8" t="s">
        <v>10</v>
      </c>
      <c r="C8" s="89"/>
      <c r="D8" s="89"/>
      <c r="E8" s="89"/>
      <c r="F8" s="89"/>
      <c r="G8" s="89"/>
      <c r="H8" s="90"/>
      <c r="I8" s="1"/>
    </row>
    <row r="9" spans="1:9" x14ac:dyDescent="0.25">
      <c r="A9" s="1"/>
      <c r="B9" s="94" t="s">
        <v>104</v>
      </c>
      <c r="C9" s="95"/>
      <c r="D9" s="95"/>
      <c r="E9" s="95"/>
      <c r="F9" s="96"/>
      <c r="G9" s="23">
        <v>1.9822376147379538E-2</v>
      </c>
      <c r="H9" s="14"/>
      <c r="I9" s="1"/>
    </row>
    <row r="10" spans="1:9" x14ac:dyDescent="0.25">
      <c r="A10" s="1"/>
      <c r="B10" s="94" t="s">
        <v>105</v>
      </c>
      <c r="C10" s="95"/>
      <c r="D10" s="95"/>
      <c r="E10" s="95"/>
      <c r="F10" s="96"/>
      <c r="G10" s="23">
        <v>0.02</v>
      </c>
      <c r="H10" s="14"/>
      <c r="I10" s="1"/>
    </row>
    <row r="11" spans="1:9" x14ac:dyDescent="0.25">
      <c r="A11" s="1"/>
      <c r="B11" s="94" t="s">
        <v>106</v>
      </c>
      <c r="C11" s="95"/>
      <c r="D11" s="95"/>
      <c r="E11" s="95"/>
      <c r="F11" s="96"/>
      <c r="G11" s="41">
        <v>1.0698523395634136E-2</v>
      </c>
      <c r="H11" s="14"/>
      <c r="I11" s="1"/>
    </row>
    <row r="12" spans="1:9" x14ac:dyDescent="0.25">
      <c r="A12" s="1"/>
      <c r="B12" s="38"/>
      <c r="C12" s="32"/>
      <c r="D12" s="32"/>
      <c r="E12" s="32"/>
      <c r="F12" s="32"/>
      <c r="G12" s="32"/>
      <c r="H12" s="20"/>
      <c r="I12" s="1"/>
    </row>
    <row r="13" spans="1:9" ht="40.5" customHeight="1" x14ac:dyDescent="0.25">
      <c r="A13" s="1"/>
      <c r="B13" s="79" t="s">
        <v>258</v>
      </c>
      <c r="C13" s="80"/>
      <c r="D13" s="80"/>
      <c r="E13" s="80"/>
      <c r="F13" s="80"/>
      <c r="G13" s="80"/>
      <c r="H13" s="81"/>
      <c r="I13" s="1"/>
    </row>
    <row r="14" spans="1:9" ht="14.25" customHeight="1" x14ac:dyDescent="0.25">
      <c r="A14" s="18"/>
      <c r="B14" s="102"/>
      <c r="C14" s="102"/>
      <c r="D14" s="102"/>
      <c r="E14" s="102"/>
      <c r="F14" s="102"/>
      <c r="G14" s="102"/>
      <c r="H14" s="102"/>
      <c r="I14" s="18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algorithmName="SHA-512" hashValue="1/jg3HBg7voMEJsPPfJJ0m1Vf3+YwyHaVBlEAPK2Tl+p1XawM/4LtaC6C2ttW4ujfH1jIWOpaORilAJHPTjKNA==" saltValue="pmOIzFINlIFrflDUwFot4A==" spinCount="100000" sheet="1" objects="1" scenarios="1"/>
  <mergeCells count="7">
    <mergeCell ref="B3:H4"/>
    <mergeCell ref="B14:H14"/>
    <mergeCell ref="B9:F9"/>
    <mergeCell ref="B8:H8"/>
    <mergeCell ref="B10:F10"/>
    <mergeCell ref="B11:F11"/>
    <mergeCell ref="B13:H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0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8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77" t="s">
        <v>165</v>
      </c>
      <c r="C3" s="77"/>
      <c r="D3" s="77"/>
      <c r="E3" s="1"/>
      <c r="F3" s="1"/>
    </row>
    <row r="4" spans="1:6" ht="15" customHeight="1" x14ac:dyDescent="0.25">
      <c r="A4" s="1"/>
      <c r="B4" s="77"/>
      <c r="C4" s="77"/>
      <c r="D4" s="77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88" t="s">
        <v>196</v>
      </c>
      <c r="C8" s="89"/>
      <c r="D8" s="90"/>
      <c r="E8" s="1"/>
      <c r="F8" s="1"/>
    </row>
    <row r="9" spans="1:6" ht="15" customHeight="1" x14ac:dyDescent="0.25">
      <c r="A9" s="1"/>
      <c r="B9" s="31" t="s">
        <v>39</v>
      </c>
      <c r="C9" s="11" t="s">
        <v>197</v>
      </c>
      <c r="D9" s="11"/>
      <c r="E9" s="1"/>
      <c r="F9" s="1"/>
    </row>
    <row r="10" spans="1:6" ht="15" customHeight="1" x14ac:dyDescent="0.25">
      <c r="A10" s="1"/>
      <c r="B10" s="56" t="s">
        <v>265</v>
      </c>
      <c r="C10" s="9">
        <v>107825</v>
      </c>
      <c r="D10" s="14" t="s">
        <v>3</v>
      </c>
      <c r="E10" s="1"/>
      <c r="F10" s="1"/>
    </row>
    <row r="11" spans="1:6" x14ac:dyDescent="0.25">
      <c r="A11" s="1"/>
      <c r="B11" s="56" t="s">
        <v>266</v>
      </c>
      <c r="C11" s="9">
        <v>16542270</v>
      </c>
      <c r="D11" s="14" t="s">
        <v>3</v>
      </c>
      <c r="E11" s="1"/>
      <c r="F11" s="1"/>
    </row>
    <row r="12" spans="1:6" x14ac:dyDescent="0.25">
      <c r="A12" s="1"/>
      <c r="B12" s="56" t="s">
        <v>267</v>
      </c>
      <c r="C12" s="9">
        <v>2025</v>
      </c>
      <c r="D12" s="14" t="s">
        <v>3</v>
      </c>
      <c r="E12" s="1"/>
      <c r="F12" s="1"/>
    </row>
    <row r="13" spans="1:6" x14ac:dyDescent="0.25">
      <c r="A13" s="1"/>
      <c r="B13" s="38" t="s">
        <v>198</v>
      </c>
      <c r="C13" s="12">
        <f>SUM(C10:C12)</f>
        <v>16652120</v>
      </c>
      <c r="D13" s="13" t="s">
        <v>3</v>
      </c>
      <c r="E13" s="1"/>
      <c r="F13" s="1"/>
    </row>
    <row r="14" spans="1:6" x14ac:dyDescent="0.25">
      <c r="A14" s="1"/>
      <c r="B14" s="38" t="s">
        <v>199</v>
      </c>
      <c r="C14" s="12">
        <f>C13*(1+'Fane 14. Nøgletal'!C13)^2</f>
        <v>17060910.229540799</v>
      </c>
      <c r="D14" s="13" t="s">
        <v>3</v>
      </c>
      <c r="E14" s="1"/>
      <c r="F14" s="1"/>
    </row>
    <row r="15" spans="1:6" x14ac:dyDescent="0.25">
      <c r="A15" s="1"/>
      <c r="B15" s="16"/>
      <c r="C15" s="15"/>
      <c r="D15" s="15"/>
      <c r="E15" s="1"/>
      <c r="F15" s="1"/>
    </row>
    <row r="16" spans="1:6" x14ac:dyDescent="0.25">
      <c r="A16" s="1"/>
      <c r="B16" s="16"/>
      <c r="C16" s="15"/>
      <c r="D16" s="15"/>
      <c r="E16" s="1"/>
      <c r="F16" s="1"/>
    </row>
    <row r="17" spans="1:6" x14ac:dyDescent="0.25">
      <c r="A17" s="1"/>
      <c r="B17" s="88" t="s">
        <v>178</v>
      </c>
      <c r="C17" s="89"/>
      <c r="D17" s="90"/>
      <c r="E17" s="1"/>
      <c r="F17" s="1"/>
    </row>
    <row r="18" spans="1:6" x14ac:dyDescent="0.25">
      <c r="A18" s="1"/>
      <c r="B18" s="56" t="s">
        <v>147</v>
      </c>
      <c r="C18" s="9">
        <v>320621</v>
      </c>
      <c r="D18" s="14" t="s">
        <v>3</v>
      </c>
      <c r="E18" s="1"/>
      <c r="F18" s="1"/>
    </row>
    <row r="19" spans="1:6" x14ac:dyDescent="0.25">
      <c r="A19" s="1"/>
      <c r="B19" s="56" t="s">
        <v>148</v>
      </c>
      <c r="C19" s="9">
        <v>320758</v>
      </c>
      <c r="D19" s="14" t="s">
        <v>3</v>
      </c>
      <c r="E19" s="1"/>
      <c r="F19" s="1"/>
    </row>
    <row r="20" spans="1:6" x14ac:dyDescent="0.25">
      <c r="A20" s="1"/>
      <c r="B20" s="56" t="s">
        <v>149</v>
      </c>
      <c r="C20" s="9">
        <v>320897</v>
      </c>
      <c r="D20" s="14" t="s">
        <v>3</v>
      </c>
      <c r="E20" s="1"/>
      <c r="F20" s="1"/>
    </row>
    <row r="21" spans="1:6" x14ac:dyDescent="0.25">
      <c r="A21" s="1"/>
      <c r="B21" s="56" t="s">
        <v>200</v>
      </c>
      <c r="C21" s="9">
        <v>321038</v>
      </c>
      <c r="D21" s="14" t="s">
        <v>3</v>
      </c>
      <c r="E21" s="1"/>
      <c r="F21" s="1"/>
    </row>
    <row r="22" spans="1:6" x14ac:dyDescent="0.25">
      <c r="A22" s="1"/>
      <c r="B22" s="88"/>
      <c r="C22" s="89"/>
      <c r="D22" s="90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88" t="s">
        <v>146</v>
      </c>
      <c r="C25" s="89"/>
      <c r="D25" s="90"/>
      <c r="E25" s="1"/>
      <c r="F25" s="1"/>
    </row>
    <row r="26" spans="1:6" x14ac:dyDescent="0.25">
      <c r="A26" s="1"/>
      <c r="B26" s="56" t="s">
        <v>147</v>
      </c>
      <c r="C26" s="9">
        <v>0</v>
      </c>
      <c r="D26" s="14" t="s">
        <v>3</v>
      </c>
      <c r="E26" s="1"/>
      <c r="F26" s="1"/>
    </row>
    <row r="27" spans="1:6" x14ac:dyDescent="0.25">
      <c r="A27" s="1"/>
      <c r="B27" s="56" t="s">
        <v>148</v>
      </c>
      <c r="C27" s="9">
        <v>0</v>
      </c>
      <c r="D27" s="14" t="s">
        <v>3</v>
      </c>
      <c r="E27" s="1"/>
      <c r="F27" s="1"/>
    </row>
    <row r="28" spans="1:6" x14ac:dyDescent="0.25">
      <c r="A28" s="1"/>
      <c r="B28" s="56" t="s">
        <v>149</v>
      </c>
      <c r="C28" s="9">
        <v>0</v>
      </c>
      <c r="D28" s="14" t="s">
        <v>3</v>
      </c>
      <c r="E28" s="1"/>
      <c r="F28" s="1"/>
    </row>
    <row r="29" spans="1:6" x14ac:dyDescent="0.25">
      <c r="A29" s="1"/>
      <c r="B29" s="56" t="s">
        <v>200</v>
      </c>
      <c r="C29" s="9">
        <v>0</v>
      </c>
      <c r="D29" s="14" t="s">
        <v>3</v>
      </c>
      <c r="E29" s="1"/>
      <c r="F29" s="1"/>
    </row>
    <row r="30" spans="1:6" x14ac:dyDescent="0.25">
      <c r="A30" s="1"/>
      <c r="B30" s="88"/>
      <c r="C30" s="89"/>
      <c r="D30" s="90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</sheetData>
  <sheetProtection algorithmName="SHA-512" hashValue="0a818zN1wMtOjmEyC5dm2XFNJEVhYrRzgETWZ9SknmZVjqfX47K+uDVfi7Tbg+8M5BLVhPOzqVWBJKVpACxV0Q==" saltValue="NLIatP8PpJKmFu54kyaQNw==" spinCount="100000" sheet="1" objects="1" scenarios="1"/>
  <mergeCells count="6">
    <mergeCell ref="B30:D30"/>
    <mergeCell ref="B3:D4"/>
    <mergeCell ref="B8:D8"/>
    <mergeCell ref="B17:D17"/>
    <mergeCell ref="B25:D25"/>
    <mergeCell ref="B22:D22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60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5.8554687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1" t="s">
        <v>256</v>
      </c>
      <c r="C3" s="91"/>
      <c r="D3" s="91"/>
      <c r="E3" s="91"/>
      <c r="F3" s="91"/>
      <c r="G3" s="1"/>
    </row>
    <row r="4" spans="1:7" ht="15" customHeight="1" x14ac:dyDescent="0.25">
      <c r="A4" s="1"/>
      <c r="B4" s="91"/>
      <c r="C4" s="91"/>
      <c r="D4" s="91"/>
      <c r="E4" s="91"/>
      <c r="F4" s="91"/>
      <c r="G4" s="1"/>
    </row>
    <row r="5" spans="1:7" ht="15" customHeight="1" x14ac:dyDescent="0.25">
      <c r="A5" s="1"/>
      <c r="B5" s="54"/>
      <c r="C5" s="54"/>
      <c r="D5" s="54"/>
      <c r="E5" s="54"/>
      <c r="F5" s="54"/>
      <c r="G5" s="1"/>
    </row>
    <row r="6" spans="1:7" ht="15" customHeight="1" x14ac:dyDescent="0.25">
      <c r="A6" s="1"/>
      <c r="B6" s="54"/>
      <c r="C6" s="54"/>
      <c r="D6" s="54"/>
      <c r="E6" s="54"/>
      <c r="F6" s="54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8" t="s">
        <v>137</v>
      </c>
      <c r="C8" s="89"/>
      <c r="D8" s="89"/>
      <c r="E8" s="89"/>
      <c r="F8" s="90"/>
      <c r="G8" s="1"/>
    </row>
    <row r="9" spans="1:7" x14ac:dyDescent="0.25">
      <c r="A9" s="1"/>
      <c r="B9" s="94" t="s">
        <v>138</v>
      </c>
      <c r="C9" s="95"/>
      <c r="D9" s="96"/>
      <c r="E9" s="9">
        <v>52997257.151067652</v>
      </c>
      <c r="F9" s="14" t="s">
        <v>3</v>
      </c>
      <c r="G9" s="1"/>
    </row>
    <row r="10" spans="1:7" x14ac:dyDescent="0.25">
      <c r="A10" s="1"/>
      <c r="B10" s="94" t="s">
        <v>139</v>
      </c>
      <c r="C10" s="95"/>
      <c r="D10" s="96"/>
      <c r="E10" s="9">
        <v>52084251</v>
      </c>
      <c r="F10" s="14" t="s">
        <v>3</v>
      </c>
      <c r="G10" s="1"/>
    </row>
    <row r="11" spans="1:7" x14ac:dyDescent="0.25">
      <c r="A11" s="1"/>
      <c r="B11" s="94" t="s">
        <v>40</v>
      </c>
      <c r="C11" s="95"/>
      <c r="D11" s="96"/>
      <c r="E11" s="9">
        <v>0</v>
      </c>
      <c r="F11" s="14" t="s">
        <v>3</v>
      </c>
      <c r="G11" s="1"/>
    </row>
    <row r="12" spans="1:7" x14ac:dyDescent="0.25">
      <c r="A12" s="1"/>
      <c r="B12" s="92" t="s">
        <v>140</v>
      </c>
      <c r="C12" s="93"/>
      <c r="D12" s="103"/>
      <c r="E12" s="10">
        <f>E9-(E10-E11)</f>
        <v>913006.15106765181</v>
      </c>
      <c r="F12" s="17" t="s">
        <v>3</v>
      </c>
      <c r="G12" s="1"/>
    </row>
    <row r="13" spans="1:7" x14ac:dyDescent="0.25">
      <c r="A13" s="1"/>
      <c r="B13" s="38"/>
      <c r="C13" s="32"/>
      <c r="D13" s="32"/>
      <c r="E13" s="32"/>
      <c r="F13" s="20"/>
      <c r="G13" s="1"/>
    </row>
    <row r="14" spans="1:7" ht="27" customHeight="1" x14ac:dyDescent="0.25">
      <c r="A14" s="1"/>
      <c r="B14" s="79" t="s">
        <v>156</v>
      </c>
      <c r="C14" s="80"/>
      <c r="D14" s="80"/>
      <c r="E14" s="80"/>
      <c r="F14" s="81"/>
      <c r="G14" s="1"/>
    </row>
    <row r="15" spans="1:7" ht="28.5" customHeight="1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88" t="s">
        <v>52</v>
      </c>
      <c r="C16" s="89"/>
      <c r="D16" s="89"/>
      <c r="E16" s="89"/>
      <c r="F16" s="90"/>
      <c r="G16" s="1"/>
    </row>
    <row r="17" spans="1:7" x14ac:dyDescent="0.25">
      <c r="A17" s="1"/>
      <c r="B17" s="94" t="s">
        <v>53</v>
      </c>
      <c r="C17" s="95"/>
      <c r="D17" s="96"/>
      <c r="E17" s="9">
        <v>54120221.37757121</v>
      </c>
      <c r="F17" s="14" t="s">
        <v>3</v>
      </c>
      <c r="G17" s="1"/>
    </row>
    <row r="18" spans="1:7" x14ac:dyDescent="0.25">
      <c r="A18" s="1"/>
      <c r="B18" s="94" t="s">
        <v>54</v>
      </c>
      <c r="C18" s="95"/>
      <c r="D18" s="96"/>
      <c r="E18" s="9">
        <v>51572233</v>
      </c>
      <c r="F18" s="14" t="s">
        <v>3</v>
      </c>
      <c r="G18" s="1"/>
    </row>
    <row r="19" spans="1:7" x14ac:dyDescent="0.25">
      <c r="A19" s="1"/>
      <c r="B19" s="94" t="s">
        <v>40</v>
      </c>
      <c r="C19" s="95"/>
      <c r="D19" s="96"/>
      <c r="E19" s="9">
        <v>0</v>
      </c>
      <c r="F19" s="14" t="s">
        <v>3</v>
      </c>
      <c r="G19" s="1"/>
    </row>
    <row r="20" spans="1:7" x14ac:dyDescent="0.25">
      <c r="A20" s="1"/>
      <c r="B20" s="92" t="s">
        <v>55</v>
      </c>
      <c r="C20" s="93"/>
      <c r="D20" s="103"/>
      <c r="E20" s="10">
        <f>E17-(E18-E19)</f>
        <v>2547988.3775712103</v>
      </c>
      <c r="F20" s="17" t="s">
        <v>3</v>
      </c>
      <c r="G20" s="1"/>
    </row>
    <row r="21" spans="1:7" x14ac:dyDescent="0.25">
      <c r="A21" s="1"/>
      <c r="B21" s="38"/>
      <c r="C21" s="32"/>
      <c r="D21" s="32"/>
      <c r="E21" s="32"/>
      <c r="F21" s="20"/>
      <c r="G21" s="1"/>
    </row>
    <row r="22" spans="1:7" ht="28.5" customHeight="1" x14ac:dyDescent="0.25">
      <c r="A22" s="1"/>
      <c r="B22" s="79" t="s">
        <v>218</v>
      </c>
      <c r="C22" s="80"/>
      <c r="D22" s="80"/>
      <c r="E22" s="80"/>
      <c r="F22" s="81"/>
      <c r="G22" s="1"/>
    </row>
    <row r="23" spans="1:7" ht="28.5" customHeight="1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88" t="s">
        <v>245</v>
      </c>
      <c r="C24" s="89"/>
      <c r="D24" s="89"/>
      <c r="E24" s="89"/>
      <c r="F24" s="90"/>
      <c r="G24" s="1"/>
    </row>
    <row r="25" spans="1:7" x14ac:dyDescent="0.25">
      <c r="A25" s="1"/>
      <c r="B25" s="94" t="s">
        <v>246</v>
      </c>
      <c r="C25" s="95"/>
      <c r="D25" s="96"/>
      <c r="E25" s="9">
        <v>52249752.343009561</v>
      </c>
      <c r="F25" s="14" t="s">
        <v>3</v>
      </c>
      <c r="G25" s="1"/>
    </row>
    <row r="26" spans="1:7" x14ac:dyDescent="0.25">
      <c r="A26" s="1"/>
      <c r="B26" s="94" t="s">
        <v>247</v>
      </c>
      <c r="C26" s="95"/>
      <c r="D26" s="96"/>
      <c r="E26" s="9">
        <v>50316397</v>
      </c>
      <c r="F26" s="14" t="s">
        <v>3</v>
      </c>
      <c r="G26" s="1"/>
    </row>
    <row r="27" spans="1:7" x14ac:dyDescent="0.25">
      <c r="A27" s="1"/>
      <c r="B27" s="94" t="s">
        <v>40</v>
      </c>
      <c r="C27" s="95"/>
      <c r="D27" s="96"/>
      <c r="E27" s="9">
        <v>0</v>
      </c>
      <c r="F27" s="14" t="s">
        <v>3</v>
      </c>
      <c r="G27" s="1"/>
    </row>
    <row r="28" spans="1:7" x14ac:dyDescent="0.25">
      <c r="A28" s="1"/>
      <c r="B28" s="92" t="s">
        <v>248</v>
      </c>
      <c r="C28" s="93"/>
      <c r="D28" s="103"/>
      <c r="E28" s="10">
        <f>E25-(E26-E27)</f>
        <v>1933355.3430095613</v>
      </c>
      <c r="F28" s="17" t="s">
        <v>3</v>
      </c>
      <c r="G28" s="1"/>
    </row>
    <row r="29" spans="1:7" x14ac:dyDescent="0.25">
      <c r="A29" s="1"/>
      <c r="B29" s="38"/>
      <c r="C29" s="32"/>
      <c r="D29" s="32"/>
      <c r="E29" s="32"/>
      <c r="F29" s="20"/>
      <c r="G29" s="1"/>
    </row>
    <row r="30" spans="1:7" ht="28.5" customHeight="1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88" t="s">
        <v>250</v>
      </c>
      <c r="C31" s="89"/>
      <c r="D31" s="89"/>
      <c r="E31" s="89"/>
      <c r="F31" s="90"/>
      <c r="G31" s="1"/>
    </row>
    <row r="32" spans="1:7" x14ac:dyDescent="0.25">
      <c r="A32" s="1"/>
      <c r="B32" s="92" t="s">
        <v>251</v>
      </c>
      <c r="C32" s="93"/>
      <c r="D32" s="103"/>
      <c r="E32" s="10">
        <f>IF(AND(E12&lt;0,E20&gt;=0,E28&gt;=0),E12/2,IF(AND(E12&lt;0,E20&lt;0,E28&lt;0),SUM(E12,E20)/2,IF(AND(E12&lt;0,E20&gt;=0,E28&lt;0,ABS(E20)&gt;ABS(E28)),E12/2,IF(AND(E12&lt;0,E20&gt;=0,E28&lt;0,ABS(E20)&lt;ABS(E28)),E12/2,IF(AND(E12&lt;0,E20&lt;0,E28&gt;=0,ABS(E20)&gt;ABS(E28)),E12/2+(E20/2+E28),IF(AND(E12&lt;0,E20&lt;0,E28&gt;=0,ABS(E20)&lt;ABS(E28)),E12/2+E20/2+(E28-(E28+E20)),IF(AND(E12&gt;=0,E20&gt;=0,E28&gt;=0),0,IF(AND(E12&gt;=0,E20&lt;0,E28&lt;0,ABS(E20)&gt;ABS(E12)),(E20+E12)/2,IF(AND(E12&gt;=0,E20&lt;0,E28&lt;0,ABS(E20)&lt;ABS(E12)),0,IF(AND(E12&gt;0,E20&gt;=0,E28&lt;0,ABS(E20)&gt;ABS(E28)),0,IF(AND(E12&gt;0,E20&gt;=0,E28&lt;0,ABS(E20)&lt;ABS(E28)),0,IF(AND(E12&gt;0,E20&lt;0,E28&gt;=0,ABS(E12)&gt;ABS(E20)),0,IF(AND(E12&gt;0,E20&lt;0,E28&gt;=0,ABS(E12)&lt;ABS(E20),ABS(E28)&gt;ABS(E20+E12)),(E20+E12)/2+(E28-E28-(E20+E12)),IF(AND(E12&gt;0,E20&lt;0,E28&gt;=0,ABS(E12)&lt;ABS(E20),ABS(E28)&lt;ABS(E20+E12)),(E20+E12)/2+E28,0))))))))))))))</f>
        <v>0</v>
      </c>
      <c r="F32" s="17" t="s">
        <v>3</v>
      </c>
      <c r="G32" s="1"/>
    </row>
    <row r="33" spans="1:7" x14ac:dyDescent="0.25">
      <c r="A33" s="1"/>
      <c r="B33" s="88"/>
      <c r="C33" s="89"/>
      <c r="D33" s="89"/>
      <c r="E33" s="89"/>
      <c r="F33" s="90"/>
      <c r="G33" s="1"/>
    </row>
    <row r="34" spans="1:7" ht="28.5" customHeight="1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88" t="s">
        <v>249</v>
      </c>
      <c r="C35" s="89"/>
      <c r="D35" s="89"/>
      <c r="E35" s="89"/>
      <c r="F35" s="90"/>
      <c r="G35" s="1"/>
    </row>
    <row r="36" spans="1:7" x14ac:dyDescent="0.25">
      <c r="A36" s="1"/>
      <c r="B36" s="104" t="s">
        <v>282</v>
      </c>
      <c r="C36" s="105"/>
      <c r="D36" s="106"/>
      <c r="E36" s="9">
        <v>1</v>
      </c>
      <c r="F36" s="14"/>
      <c r="G36" s="1"/>
    </row>
    <row r="37" spans="1:7" x14ac:dyDescent="0.25">
      <c r="A37" s="1"/>
      <c r="B37" s="104" t="s">
        <v>283</v>
      </c>
      <c r="C37" s="105"/>
      <c r="D37" s="106"/>
      <c r="E37" s="9">
        <v>1</v>
      </c>
      <c r="F37" s="14"/>
      <c r="G37" s="1"/>
    </row>
    <row r="38" spans="1:7" x14ac:dyDescent="0.25">
      <c r="A38" s="1"/>
      <c r="B38" s="104" t="s">
        <v>252</v>
      </c>
      <c r="C38" s="105"/>
      <c r="D38" s="106"/>
      <c r="E38" s="9">
        <f>IF(AND(E12&lt;0,E20&gt;=0,E28&gt;=0,),0,IF(AND(E12&lt;0,E20&lt;0,E28&gt;=0),0,IF(AND(E12&lt;0,E20&lt;0,E28&lt;0),E28,IF(AND(E12&lt;0,E20&gt;=0,E28&lt;0,ABS(E20)&gt;ABS(E28),E36=0,E37=1),0,IF(AND(E12&lt;0,E20&gt;=0,E28&lt;0,ABS(E20)&lt;ABS(E28),E36=0,E37=1),(E28+E20),IF(AND(E12&lt;0,E20&gt;=0,E28&lt;0,ABS(E20)&gt;ABS(E28)),0,IF(AND(E12&lt;0,E20&gt;=0,E28&lt;0,ABS(E20)&lt;ABS(E28)),(E20+E28),IF(AND(E12&gt;=0,E20&gt;=0,E28&gt;=0),0,IF(AND(E12&gt;=0,E20&lt;0,E28&lt;0,SUM(E12+E20)&gt;=0,ABS(E20+E28)&gt;E12,E36=1,E37=0),(E12+E20+E28),IF(AND(E12&gt;=0,E20&lt;0,E28&lt;0,SUM(E12+E20)&gt;=0,ABS(E20+E28)&lt;E12,E36=1,E37=0),0,IF(AND(E12&gt;=0,E20&lt;0,E28&lt;0,SUM(E12+E20)&lt;0,E36=1,E37=0),(E28),IF(AND(E12&gt;=0,E20&lt;0,E28&lt;0),E28,IF(AND(E12&gt;0,E20&gt;=0,E28&lt;0,ABS(E20+E12)&gt;ABS(E28),E36=1,E37=1),0,IF(AND(E12&gt;0,E20&gt;=0,E28&lt;0,ABS(E20+E12)&lt;ABS(E28),E36=1,E37=1),(E28+(E12+E20)),IF(AND(E12&gt;0,E20&gt;=0,E28&lt;0,ABS(E20)&gt;ABS(E28)),0,IF(AND(E12&gt;0,E20&gt;=0,E28&lt;0,ABS(E20)&lt;ABS(E28)),(E20+E28),IF(AND(E12&gt;=0,E20&lt;0,E28&gt;=0),0,0)))))))))))))))))</f>
        <v>0</v>
      </c>
      <c r="F38" s="14" t="s">
        <v>3</v>
      </c>
      <c r="G38" s="1"/>
    </row>
    <row r="39" spans="1:7" x14ac:dyDescent="0.25">
      <c r="A39" s="1"/>
      <c r="B39" s="104" t="s">
        <v>152</v>
      </c>
      <c r="C39" s="105"/>
      <c r="D39" s="106"/>
      <c r="E39" s="9">
        <v>2</v>
      </c>
      <c r="F39" s="14" t="s">
        <v>21</v>
      </c>
      <c r="G39" s="1"/>
    </row>
    <row r="40" spans="1:7" x14ac:dyDescent="0.25">
      <c r="A40" s="1"/>
      <c r="B40" s="110" t="s">
        <v>253</v>
      </c>
      <c r="C40" s="110"/>
      <c r="D40" s="110"/>
      <c r="E40" s="10">
        <f>E38/E39</f>
        <v>0</v>
      </c>
      <c r="F40" s="17" t="s">
        <v>3</v>
      </c>
      <c r="G40" s="1"/>
    </row>
    <row r="41" spans="1:7" x14ac:dyDescent="0.25">
      <c r="A41" s="1"/>
      <c r="B41" s="107"/>
      <c r="C41" s="108"/>
      <c r="D41" s="108"/>
      <c r="E41" s="108"/>
      <c r="F41" s="109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47"/>
      <c r="B45" s="47"/>
      <c r="C45" s="47"/>
      <c r="D45" s="47"/>
      <c r="E45" s="47"/>
      <c r="F45" s="47"/>
      <c r="G45" s="47"/>
    </row>
    <row r="46" spans="1:7" x14ac:dyDescent="0.25">
      <c r="A46" s="48"/>
      <c r="B46" s="48"/>
      <c r="C46" s="48"/>
      <c r="D46" s="48"/>
      <c r="E46" s="48"/>
      <c r="F46" s="48"/>
      <c r="G46" s="48"/>
    </row>
    <row r="47" spans="1:7" x14ac:dyDescent="0.25">
      <c r="A47" s="42"/>
      <c r="B47" s="42"/>
      <c r="C47" s="42"/>
      <c r="D47" s="42"/>
      <c r="E47" s="42"/>
      <c r="F47" s="42"/>
      <c r="G47" s="42"/>
    </row>
    <row r="48" spans="1:7" x14ac:dyDescent="0.25">
      <c r="A48" s="42"/>
      <c r="B48" s="42"/>
      <c r="C48" s="42"/>
      <c r="D48" s="42"/>
      <c r="E48" s="42"/>
      <c r="F48" s="42"/>
      <c r="G48" s="42"/>
    </row>
    <row r="49" spans="1:7" x14ac:dyDescent="0.25">
      <c r="A49" s="42"/>
      <c r="B49" s="42"/>
      <c r="C49" s="42"/>
      <c r="D49" s="42"/>
      <c r="E49" s="42"/>
      <c r="F49" s="42"/>
      <c r="G49" s="42"/>
    </row>
    <row r="50" spans="1:7" x14ac:dyDescent="0.25">
      <c r="A50" s="42"/>
      <c r="B50" s="42"/>
      <c r="C50" s="42"/>
      <c r="D50" s="42"/>
      <c r="E50" s="42"/>
      <c r="F50" s="42"/>
      <c r="G50" s="42"/>
    </row>
    <row r="51" spans="1:7" x14ac:dyDescent="0.25">
      <c r="A51" s="42"/>
      <c r="B51" s="42"/>
      <c r="C51" s="42"/>
      <c r="D51" s="42"/>
      <c r="E51" s="42"/>
      <c r="F51" s="42"/>
      <c r="G51" s="42"/>
    </row>
    <row r="52" spans="1:7" x14ac:dyDescent="0.25">
      <c r="A52" s="42"/>
      <c r="B52" s="42"/>
      <c r="C52" s="42"/>
      <c r="D52" s="42"/>
      <c r="E52" s="42"/>
      <c r="F52" s="42"/>
      <c r="G52" s="42"/>
    </row>
    <row r="53" spans="1:7" x14ac:dyDescent="0.25">
      <c r="A53" s="42"/>
      <c r="B53" s="42"/>
      <c r="C53" s="42"/>
      <c r="D53" s="42"/>
      <c r="E53" s="42"/>
      <c r="F53" s="42"/>
      <c r="G53" s="42"/>
    </row>
    <row r="54" spans="1:7" x14ac:dyDescent="0.25">
      <c r="A54" s="42"/>
      <c r="B54" s="42"/>
      <c r="C54" s="42"/>
      <c r="D54" s="42"/>
      <c r="E54" s="42"/>
      <c r="F54" s="42"/>
      <c r="G54" s="42"/>
    </row>
    <row r="55" spans="1:7" x14ac:dyDescent="0.25">
      <c r="A55" s="42"/>
      <c r="B55" s="42"/>
      <c r="C55" s="42"/>
      <c r="D55" s="42"/>
      <c r="E55" s="42"/>
      <c r="F55" s="42"/>
      <c r="G55" s="42"/>
    </row>
    <row r="56" spans="1:7" x14ac:dyDescent="0.25">
      <c r="A56" s="42"/>
      <c r="B56" s="42"/>
      <c r="C56" s="42"/>
      <c r="D56" s="42"/>
      <c r="E56" s="42"/>
      <c r="F56" s="42"/>
      <c r="G56" s="42"/>
    </row>
    <row r="57" spans="1:7" x14ac:dyDescent="0.25">
      <c r="A57" s="42"/>
      <c r="B57" s="42"/>
      <c r="C57" s="42"/>
      <c r="D57" s="42"/>
      <c r="E57" s="42"/>
      <c r="F57" s="42"/>
      <c r="G57" s="42"/>
    </row>
    <row r="58" spans="1:7" x14ac:dyDescent="0.25">
      <c r="A58" s="42"/>
      <c r="B58" s="42"/>
      <c r="C58" s="42"/>
      <c r="D58" s="42"/>
      <c r="E58" s="42"/>
      <c r="F58" s="42"/>
      <c r="G58" s="42"/>
    </row>
    <row r="59" spans="1:7" x14ac:dyDescent="0.25">
      <c r="A59" s="42"/>
      <c r="B59" s="42"/>
      <c r="C59" s="42"/>
      <c r="D59" s="42"/>
      <c r="E59" s="42"/>
      <c r="F59" s="42"/>
      <c r="G59" s="42"/>
    </row>
    <row r="60" spans="1:7" x14ac:dyDescent="0.25">
      <c r="A60" s="42"/>
      <c r="B60" s="42"/>
      <c r="C60" s="42"/>
      <c r="D60" s="42"/>
      <c r="E60" s="42"/>
      <c r="F60" s="42"/>
      <c r="G60" s="42"/>
    </row>
  </sheetData>
  <sheetProtection algorithmName="SHA-512" hashValue="yO03HznQlvBLRjFos7rskWD5QSn8bkEPz+ijEwHdP3omxqOC0TgyFRPp2/l7YtFEe4Dxfbxtwdzdlcjp6IQEwg==" saltValue="U6Sj2l+DWEaI6ZKOVa9eRw==" spinCount="100000" sheet="1" objects="1" scenarios="1"/>
  <mergeCells count="28">
    <mergeCell ref="B33:F33"/>
    <mergeCell ref="B31:F31"/>
    <mergeCell ref="B32:D32"/>
    <mergeCell ref="B22:F22"/>
    <mergeCell ref="B24:F24"/>
    <mergeCell ref="B25:D25"/>
    <mergeCell ref="B26:D26"/>
    <mergeCell ref="B27:D27"/>
    <mergeCell ref="B28:D28"/>
    <mergeCell ref="B35:F35"/>
    <mergeCell ref="B38:D38"/>
    <mergeCell ref="B41:F41"/>
    <mergeCell ref="B39:D39"/>
    <mergeCell ref="B40:D40"/>
    <mergeCell ref="B36:D36"/>
    <mergeCell ref="B37:D37"/>
    <mergeCell ref="B20:D20"/>
    <mergeCell ref="B3:F4"/>
    <mergeCell ref="B16:F16"/>
    <mergeCell ref="B17:D17"/>
    <mergeCell ref="B18:D18"/>
    <mergeCell ref="B19:D19"/>
    <mergeCell ref="B8:F8"/>
    <mergeCell ref="B9:D9"/>
    <mergeCell ref="B10:D10"/>
    <mergeCell ref="B11:D11"/>
    <mergeCell ref="B12:D12"/>
    <mergeCell ref="B14:F14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5.5703125" style="2" customWidth="1"/>
    <col min="5" max="5" width="12.7109375" style="2" bestFit="1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1" t="s">
        <v>201</v>
      </c>
      <c r="C3" s="91"/>
      <c r="D3" s="91"/>
      <c r="E3" s="91"/>
      <c r="F3" s="91"/>
      <c r="G3" s="1"/>
    </row>
    <row r="4" spans="1:7" ht="15" customHeight="1" x14ac:dyDescent="0.25">
      <c r="A4" s="1"/>
      <c r="B4" s="91"/>
      <c r="C4" s="91"/>
      <c r="D4" s="91"/>
      <c r="E4" s="91"/>
      <c r="F4" s="9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15" customHeight="1" x14ac:dyDescent="0.25">
      <c r="A9" s="1"/>
      <c r="B9" s="88" t="s">
        <v>202</v>
      </c>
      <c r="C9" s="89"/>
      <c r="D9" s="89"/>
      <c r="E9" s="89"/>
      <c r="F9" s="90"/>
      <c r="G9" s="1"/>
    </row>
    <row r="10" spans="1:7" x14ac:dyDescent="0.25">
      <c r="A10" s="1"/>
      <c r="B10" s="79" t="s">
        <v>150</v>
      </c>
      <c r="C10" s="80"/>
      <c r="D10" s="81"/>
      <c r="E10" s="7">
        <v>0</v>
      </c>
      <c r="F10" s="8" t="s">
        <v>3</v>
      </c>
      <c r="G10" s="1"/>
    </row>
    <row r="11" spans="1:7" x14ac:dyDescent="0.25">
      <c r="A11" s="1"/>
      <c r="B11" s="94" t="s">
        <v>203</v>
      </c>
      <c r="C11" s="95"/>
      <c r="D11" s="96"/>
      <c r="E11" s="7">
        <v>0</v>
      </c>
      <c r="F11" s="8" t="s">
        <v>3</v>
      </c>
      <c r="G11" s="1"/>
    </row>
    <row r="12" spans="1:7" x14ac:dyDescent="0.25">
      <c r="A12" s="1"/>
      <c r="B12" s="92" t="s">
        <v>151</v>
      </c>
      <c r="C12" s="93"/>
      <c r="D12" s="103"/>
      <c r="E12" s="10">
        <f>E11-E10</f>
        <v>0</v>
      </c>
      <c r="F12" s="11" t="s">
        <v>3</v>
      </c>
      <c r="G12" s="1"/>
    </row>
    <row r="13" spans="1:7" x14ac:dyDescent="0.25">
      <c r="A13" s="1"/>
      <c r="B13" s="88" t="s">
        <v>134</v>
      </c>
      <c r="C13" s="89"/>
      <c r="D13" s="89"/>
      <c r="E13" s="89"/>
      <c r="F13" s="90"/>
      <c r="G13" s="1"/>
    </row>
    <row r="14" spans="1:7" x14ac:dyDescent="0.25">
      <c r="A14" s="1"/>
      <c r="B14" s="94" t="s">
        <v>204</v>
      </c>
      <c r="C14" s="95"/>
      <c r="D14" s="96"/>
      <c r="E14" s="9">
        <v>320353</v>
      </c>
      <c r="F14" s="8" t="s">
        <v>3</v>
      </c>
      <c r="G14" s="1"/>
    </row>
    <row r="15" spans="1:7" x14ac:dyDescent="0.25">
      <c r="A15" s="1"/>
      <c r="B15" s="79" t="s">
        <v>205</v>
      </c>
      <c r="C15" s="80"/>
      <c r="D15" s="81"/>
      <c r="E15" s="9">
        <v>314611</v>
      </c>
      <c r="F15" s="8" t="s">
        <v>3</v>
      </c>
      <c r="G15" s="1"/>
    </row>
    <row r="16" spans="1:7" x14ac:dyDescent="0.25">
      <c r="A16" s="1"/>
      <c r="B16" s="92" t="s">
        <v>151</v>
      </c>
      <c r="C16" s="93"/>
      <c r="D16" s="103"/>
      <c r="E16" s="10">
        <f>E15-E14</f>
        <v>-5742</v>
      </c>
      <c r="F16" s="11" t="s">
        <v>3</v>
      </c>
      <c r="G16" s="1"/>
    </row>
    <row r="17" spans="1:7" x14ac:dyDescent="0.25">
      <c r="A17" s="1"/>
      <c r="B17" s="38" t="s">
        <v>206</v>
      </c>
      <c r="C17" s="32"/>
      <c r="D17" s="32"/>
      <c r="E17" s="12">
        <f>E12+E16</f>
        <v>-5742</v>
      </c>
      <c r="F17" s="13" t="s">
        <v>3</v>
      </c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aMWtu8s08S81YHdVk+q5YFZZrmHvGAYlR8NPUaLq0jdT0f9kN4rjeiUPqebhYxpyt5PX4L0RFqCNDhpEJyyp/Q==" saltValue="NOcjpk8iDQ1RZh9JkXhNaQ==" spinCount="100000" sheet="1" objects="1" scenarios="1"/>
  <mergeCells count="9">
    <mergeCell ref="B13:F13"/>
    <mergeCell ref="B16:D16"/>
    <mergeCell ref="B3:F4"/>
    <mergeCell ref="B10:D10"/>
    <mergeCell ref="B11:D11"/>
    <mergeCell ref="B14:D14"/>
    <mergeCell ref="B15:D15"/>
    <mergeCell ref="B9:F9"/>
    <mergeCell ref="B12:D12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52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7" t="s">
        <v>236</v>
      </c>
      <c r="C3" s="77"/>
      <c r="D3" s="77"/>
      <c r="E3" s="77"/>
      <c r="F3" s="77"/>
      <c r="G3" s="77"/>
      <c r="H3" s="77"/>
      <c r="I3" s="1"/>
    </row>
    <row r="4" spans="1:9" ht="15" customHeight="1" x14ac:dyDescent="0.25">
      <c r="A4" s="1"/>
      <c r="B4" s="77"/>
      <c r="C4" s="77"/>
      <c r="D4" s="77"/>
      <c r="E4" s="77"/>
      <c r="F4" s="77"/>
      <c r="G4" s="77"/>
      <c r="H4" s="7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8" t="s">
        <v>237</v>
      </c>
      <c r="C8" s="89"/>
      <c r="D8" s="89"/>
      <c r="E8" s="89"/>
      <c r="F8" s="89"/>
      <c r="G8" s="89"/>
      <c r="H8" s="90"/>
      <c r="I8" s="1"/>
    </row>
    <row r="9" spans="1:9" ht="39.75" customHeight="1" x14ac:dyDescent="0.25">
      <c r="A9" s="1"/>
      <c r="B9" s="19" t="s">
        <v>0</v>
      </c>
      <c r="C9" s="19" t="s">
        <v>1</v>
      </c>
      <c r="D9" s="19" t="s">
        <v>11</v>
      </c>
      <c r="E9" s="11" t="s">
        <v>2</v>
      </c>
      <c r="F9" s="11" t="s">
        <v>12</v>
      </c>
      <c r="G9" s="11" t="s">
        <v>37</v>
      </c>
      <c r="H9" s="37"/>
      <c r="I9" s="1"/>
    </row>
    <row r="10" spans="1:9" ht="26.25" x14ac:dyDescent="0.25">
      <c r="A10" s="1"/>
      <c r="B10" s="58" t="s">
        <v>272</v>
      </c>
      <c r="C10" s="115" t="s">
        <v>273</v>
      </c>
      <c r="D10" s="9">
        <v>17225796</v>
      </c>
      <c r="E10" s="9">
        <f>IFERROR(D10/C10,0)</f>
        <v>229677.28</v>
      </c>
      <c r="F10" s="9">
        <v>0</v>
      </c>
      <c r="G10" s="9">
        <v>0</v>
      </c>
      <c r="H10" s="14" t="s">
        <v>3</v>
      </c>
      <c r="I10" s="1"/>
    </row>
    <row r="11" spans="1:9" ht="26.25" x14ac:dyDescent="0.25">
      <c r="A11" s="1"/>
      <c r="B11" s="58" t="s">
        <v>274</v>
      </c>
      <c r="C11" s="115" t="s">
        <v>273</v>
      </c>
      <c r="D11" s="9">
        <v>574857</v>
      </c>
      <c r="E11" s="9">
        <f t="shared" ref="E11:E14" si="0">IFERROR(D11/C11,0)</f>
        <v>7664.76</v>
      </c>
      <c r="F11" s="9">
        <v>0</v>
      </c>
      <c r="G11" s="9">
        <v>0</v>
      </c>
      <c r="H11" s="14" t="s">
        <v>3</v>
      </c>
      <c r="I11" s="1"/>
    </row>
    <row r="12" spans="1:9" x14ac:dyDescent="0.25">
      <c r="A12" s="1"/>
      <c r="B12" s="58" t="s">
        <v>275</v>
      </c>
      <c r="C12" s="115" t="s">
        <v>273</v>
      </c>
      <c r="D12" s="9">
        <v>1670772</v>
      </c>
      <c r="E12" s="9">
        <f t="shared" si="0"/>
        <v>22276.959999999999</v>
      </c>
      <c r="F12" s="9">
        <v>0</v>
      </c>
      <c r="G12" s="9">
        <v>0</v>
      </c>
      <c r="H12" s="14" t="s">
        <v>3</v>
      </c>
      <c r="I12" s="1"/>
    </row>
    <row r="13" spans="1:9" x14ac:dyDescent="0.25">
      <c r="A13" s="1"/>
      <c r="B13" s="58" t="s">
        <v>276</v>
      </c>
      <c r="C13" s="115" t="s">
        <v>273</v>
      </c>
      <c r="D13" s="9">
        <v>468507</v>
      </c>
      <c r="E13" s="9">
        <f t="shared" si="0"/>
        <v>6246.76</v>
      </c>
      <c r="F13" s="9">
        <v>0</v>
      </c>
      <c r="G13" s="9">
        <v>0</v>
      </c>
      <c r="H13" s="14" t="s">
        <v>3</v>
      </c>
      <c r="I13" s="1"/>
    </row>
    <row r="14" spans="1:9" ht="39" x14ac:dyDescent="0.25">
      <c r="A14" s="1"/>
      <c r="B14" s="58" t="s">
        <v>277</v>
      </c>
      <c r="C14" s="115" t="s">
        <v>278</v>
      </c>
      <c r="D14" s="9">
        <v>449016</v>
      </c>
      <c r="E14" s="9">
        <f t="shared" si="0"/>
        <v>44901.599999999999</v>
      </c>
      <c r="F14" s="9">
        <v>0</v>
      </c>
      <c r="G14" s="9">
        <v>0</v>
      </c>
      <c r="H14" s="14" t="s">
        <v>3</v>
      </c>
      <c r="I14" s="1"/>
    </row>
    <row r="15" spans="1:9" x14ac:dyDescent="0.25">
      <c r="A15" s="1"/>
      <c r="B15" s="58" t="s">
        <v>279</v>
      </c>
      <c r="C15" s="115" t="s">
        <v>280</v>
      </c>
      <c r="D15" s="9">
        <v>16486557</v>
      </c>
      <c r="E15" s="9">
        <f t="shared" ref="E15:E16" si="1">IFERROR(D15/C15,0)</f>
        <v>329731.14</v>
      </c>
      <c r="F15" s="9">
        <v>0</v>
      </c>
      <c r="G15" s="9">
        <v>0</v>
      </c>
      <c r="H15" s="14" t="s">
        <v>3</v>
      </c>
      <c r="I15" s="1"/>
    </row>
    <row r="16" spans="1:9" ht="26.25" x14ac:dyDescent="0.25">
      <c r="A16" s="1"/>
      <c r="B16" s="58" t="s">
        <v>281</v>
      </c>
      <c r="C16" s="116">
        <v>5</v>
      </c>
      <c r="D16" s="9">
        <v>597310</v>
      </c>
      <c r="E16" s="9">
        <f t="shared" si="1"/>
        <v>119462</v>
      </c>
      <c r="F16" s="9">
        <v>0</v>
      </c>
      <c r="G16" s="9">
        <v>0</v>
      </c>
      <c r="H16" s="14" t="s">
        <v>3</v>
      </c>
      <c r="I16" s="1"/>
    </row>
    <row r="17" spans="1:9" x14ac:dyDescent="0.25">
      <c r="A17" s="1"/>
      <c r="B17" s="88" t="s">
        <v>238</v>
      </c>
      <c r="C17" s="89"/>
      <c r="D17" s="90"/>
      <c r="E17" s="12">
        <f>SUM(E10:E16)</f>
        <v>759960.5</v>
      </c>
      <c r="F17" s="12">
        <f>SUM(F10:F16)</f>
        <v>0</v>
      </c>
      <c r="G17" s="12">
        <f>SUM(G10:G16)</f>
        <v>0</v>
      </c>
      <c r="H17" s="13" t="s">
        <v>3</v>
      </c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</sheetData>
  <sheetProtection algorithmName="SHA-512" hashValue="r7ui0axaLvW5n08EREBOzXbDeKsNdbvwmsqPSKGN7LQsfwEy8HS+9DB0dZCY28U1hCQcF9jx3SatDxtx65alVA==" saltValue="KVeyBVvv/WaC+G+kEQFMMA==" spinCount="100000" sheet="1" objects="1" scenarios="1"/>
  <mergeCells count="3">
    <mergeCell ref="B3:H4"/>
    <mergeCell ref="B17:D17"/>
    <mergeCell ref="B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7" t="s">
        <v>168</v>
      </c>
      <c r="C3" s="77"/>
      <c r="D3" s="77"/>
      <c r="E3" s="77"/>
      <c r="F3" s="77"/>
      <c r="G3" s="1"/>
    </row>
    <row r="4" spans="1:7" ht="15" customHeight="1" x14ac:dyDescent="0.25">
      <c r="A4" s="1"/>
      <c r="B4" s="77"/>
      <c r="C4" s="77"/>
      <c r="D4" s="77"/>
      <c r="E4" s="77"/>
      <c r="F4" s="77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108</v>
      </c>
      <c r="C8" s="32"/>
      <c r="D8" s="32"/>
      <c r="E8" s="32"/>
      <c r="F8" s="20"/>
      <c r="G8" s="1"/>
    </row>
    <row r="9" spans="1:7" ht="17.25" customHeight="1" x14ac:dyDescent="0.25">
      <c r="A9" s="1"/>
      <c r="B9" s="53" t="s">
        <v>18</v>
      </c>
      <c r="C9" s="53" t="s">
        <v>12</v>
      </c>
      <c r="D9" s="55"/>
      <c r="E9" s="53" t="s">
        <v>38</v>
      </c>
      <c r="F9" s="37"/>
      <c r="G9" s="1"/>
    </row>
    <row r="10" spans="1:7" x14ac:dyDescent="0.25">
      <c r="A10" s="1"/>
      <c r="B10" s="25" t="s">
        <v>239</v>
      </c>
      <c r="C10" s="22">
        <f>'Fane 9. Anlægsprojekter'!F17</f>
        <v>0</v>
      </c>
      <c r="D10" s="14" t="s">
        <v>3</v>
      </c>
      <c r="E10" s="9">
        <f>SUM('Fane 9. Anlægsprojekter'!E17,'Fane 9. Anlægsprojekter'!G17)</f>
        <v>759960.5</v>
      </c>
      <c r="F10" s="14" t="s">
        <v>3</v>
      </c>
      <c r="G10" s="1"/>
    </row>
    <row r="11" spans="1:7" x14ac:dyDescent="0.25">
      <c r="A11" s="1"/>
      <c r="B11" s="117" t="s">
        <v>270</v>
      </c>
      <c r="C11" s="22">
        <v>31930</v>
      </c>
      <c r="D11" s="14" t="s">
        <v>3</v>
      </c>
      <c r="E11" s="9">
        <v>0</v>
      </c>
      <c r="F11" s="14" t="s">
        <v>3</v>
      </c>
      <c r="G11" s="1"/>
    </row>
    <row r="12" spans="1:7" x14ac:dyDescent="0.25">
      <c r="A12" s="1"/>
      <c r="B12" s="38" t="s">
        <v>50</v>
      </c>
      <c r="C12" s="12">
        <f>SUM(C10:C11)</f>
        <v>31930</v>
      </c>
      <c r="D12" s="13" t="s">
        <v>3</v>
      </c>
      <c r="E12" s="12">
        <f>SUM(E10:E11)</f>
        <v>759960.5</v>
      </c>
      <c r="F12" s="13" t="s">
        <v>3</v>
      </c>
      <c r="G12" s="1"/>
    </row>
    <row r="13" spans="1:7" x14ac:dyDescent="0.25">
      <c r="A13" s="1"/>
      <c r="B13" s="38" t="s">
        <v>219</v>
      </c>
      <c r="C13" s="12">
        <f>C12*(1+'Fane 14. Nøgletal'!C13)</f>
        <v>32319.545999999998</v>
      </c>
      <c r="D13" s="13" t="s">
        <v>3</v>
      </c>
      <c r="E13" s="12">
        <f>E12*(1+'Fane 14. Nøgletal'!C13)</f>
        <v>769232.01809999999</v>
      </c>
      <c r="F13" s="13" t="s">
        <v>3</v>
      </c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qNy8hnWw0YcWmaONqd4tKIJDJCFMnXyDW4fuAtiz41GD2mza7tmIl2m/3rlLRSu0hrm5OjrIVCCZxqaiMXCLFw==" saltValue="NMr78jUWaQrzCyE+GM0nUQ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42578125" style="2" bestFit="1" customWidth="1"/>
    <col min="5" max="5" width="17.7109375" style="2" bestFit="1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7" t="s">
        <v>167</v>
      </c>
      <c r="C3" s="77"/>
      <c r="D3" s="77"/>
      <c r="E3" s="77"/>
      <c r="F3" s="77"/>
      <c r="G3" s="1"/>
    </row>
    <row r="4" spans="1:7" ht="15" customHeight="1" x14ac:dyDescent="0.25">
      <c r="A4" s="1"/>
      <c r="B4" s="77"/>
      <c r="C4" s="77"/>
      <c r="D4" s="77"/>
      <c r="E4" s="77"/>
      <c r="F4" s="77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8" t="s">
        <v>141</v>
      </c>
      <c r="C8" s="89"/>
      <c r="D8" s="89"/>
      <c r="E8" s="89"/>
      <c r="F8" s="90"/>
      <c r="G8" s="1"/>
    </row>
    <row r="9" spans="1:7" x14ac:dyDescent="0.25">
      <c r="A9" s="1"/>
      <c r="B9" s="53" t="s">
        <v>18</v>
      </c>
      <c r="C9" s="53" t="s">
        <v>12</v>
      </c>
      <c r="D9" s="55"/>
      <c r="E9" s="53" t="s">
        <v>38</v>
      </c>
      <c r="F9" s="37"/>
      <c r="G9" s="1"/>
    </row>
    <row r="10" spans="1:7" x14ac:dyDescent="0.25">
      <c r="A10" s="1"/>
      <c r="B10" s="25" t="s">
        <v>270</v>
      </c>
      <c r="C10" s="22">
        <v>638609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8" t="s">
        <v>220</v>
      </c>
      <c r="C11" s="12">
        <f>SUM(C10:C10)</f>
        <v>638609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27" t="s">
        <v>10</v>
      </c>
      <c r="C12" s="28">
        <f>-C11*'Fane 5. Individuelt eff. krav'!G11</f>
        <v>-6832.1733271625199</v>
      </c>
      <c r="D12" s="29" t="s">
        <v>3</v>
      </c>
      <c r="E12" s="28">
        <f>-E11*'Fane 5. Individuelt eff. krav'!G11</f>
        <v>0</v>
      </c>
      <c r="F12" s="29" t="s">
        <v>3</v>
      </c>
      <c r="G12" s="1"/>
    </row>
    <row r="13" spans="1:7" x14ac:dyDescent="0.25">
      <c r="A13" s="1"/>
      <c r="B13" s="27" t="s">
        <v>145</v>
      </c>
      <c r="C13" s="28">
        <f>-C11*'Fane 14. Nøgletal'!C27</f>
        <v>-12772.18</v>
      </c>
      <c r="D13" s="29" t="s">
        <v>3</v>
      </c>
      <c r="E13" s="28">
        <f>-E11*'Fane 14. Nøgletal'!C22</f>
        <v>0</v>
      </c>
      <c r="F13" s="29" t="s">
        <v>3</v>
      </c>
      <c r="G13" s="1"/>
    </row>
    <row r="14" spans="1:7" x14ac:dyDescent="0.25">
      <c r="A14" s="1"/>
      <c r="B14" s="38" t="s">
        <v>144</v>
      </c>
      <c r="C14" s="12">
        <f>SUM(C11:C13)*(1+'Fane 14. Nøgletal'!C13)^2</f>
        <v>634200.49270326551</v>
      </c>
      <c r="D14" s="13" t="s">
        <v>3</v>
      </c>
      <c r="E14" s="12">
        <f>SUM(E11:E13)*(1+'Fane 14. Nøgletal'!C13)^2</f>
        <v>0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88" t="s">
        <v>142</v>
      </c>
      <c r="C16" s="89"/>
      <c r="D16" s="89"/>
      <c r="E16" s="89"/>
      <c r="F16" s="90"/>
      <c r="G16" s="1"/>
    </row>
    <row r="17" spans="1:7" x14ac:dyDescent="0.25">
      <c r="A17" s="1"/>
      <c r="B17" s="53" t="s">
        <v>18</v>
      </c>
      <c r="C17" s="53" t="s">
        <v>12</v>
      </c>
      <c r="D17" s="55"/>
      <c r="E17" s="53" t="s">
        <v>38</v>
      </c>
      <c r="F17" s="37"/>
      <c r="G17" s="1"/>
    </row>
    <row r="18" spans="1:7" x14ac:dyDescent="0.25">
      <c r="A18" s="1"/>
      <c r="B18" s="25" t="s">
        <v>271</v>
      </c>
      <c r="C18" s="22">
        <v>0</v>
      </c>
      <c r="D18" s="14" t="s">
        <v>3</v>
      </c>
      <c r="E18" s="9">
        <v>0</v>
      </c>
      <c r="F18" s="14" t="s">
        <v>3</v>
      </c>
      <c r="G18" s="1"/>
    </row>
    <row r="19" spans="1:7" x14ac:dyDescent="0.25">
      <c r="A19" s="1"/>
      <c r="B19" s="38" t="s">
        <v>220</v>
      </c>
      <c r="C19" s="12">
        <f>SUM(C18:C18)</f>
        <v>0</v>
      </c>
      <c r="D19" s="13" t="s">
        <v>3</v>
      </c>
      <c r="E19" s="12">
        <f>SUM(E18:E18)</f>
        <v>0</v>
      </c>
      <c r="F19" s="13" t="s">
        <v>3</v>
      </c>
      <c r="G19" s="1"/>
    </row>
    <row r="20" spans="1:7" x14ac:dyDescent="0.25">
      <c r="A20" s="1"/>
      <c r="B20" s="27" t="s">
        <v>10</v>
      </c>
      <c r="C20" s="28">
        <f>-C19*'Fane 5. Individuelt eff. krav'!G11</f>
        <v>0</v>
      </c>
      <c r="D20" s="29" t="s">
        <v>3</v>
      </c>
      <c r="E20" s="28">
        <f>-E19*'Fane 5. Individuelt eff. krav'!G11</f>
        <v>0</v>
      </c>
      <c r="F20" s="29" t="s">
        <v>3</v>
      </c>
      <c r="G20" s="1"/>
    </row>
    <row r="21" spans="1:7" x14ac:dyDescent="0.25">
      <c r="A21" s="1"/>
      <c r="B21" s="27" t="s">
        <v>145</v>
      </c>
      <c r="C21" s="28">
        <f>-C19*'Fane 14. Nøgletal'!C27</f>
        <v>0</v>
      </c>
      <c r="D21" s="29" t="s">
        <v>3</v>
      </c>
      <c r="E21" s="28">
        <f>-E19*'Fane 14. Nøgletal'!C22</f>
        <v>0</v>
      </c>
      <c r="F21" s="29" t="s">
        <v>3</v>
      </c>
      <c r="G21" s="1"/>
    </row>
    <row r="22" spans="1:7" x14ac:dyDescent="0.25">
      <c r="A22" s="1"/>
      <c r="B22" s="38" t="s">
        <v>221</v>
      </c>
      <c r="C22" s="12">
        <f>SUM(C19:C21)*(1+'Fane 14. Nøgletal'!C13)^3</f>
        <v>0</v>
      </c>
      <c r="D22" s="13" t="s">
        <v>3</v>
      </c>
      <c r="E22" s="12">
        <f>SUM(E19:E21)*(1+'Fane 14. Nøgletal'!C13)^3</f>
        <v>0</v>
      </c>
      <c r="F22" s="13" t="s">
        <v>3</v>
      </c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88" t="s">
        <v>143</v>
      </c>
      <c r="C24" s="89"/>
      <c r="D24" s="89"/>
      <c r="E24" s="89"/>
      <c r="F24" s="90"/>
      <c r="G24" s="1"/>
    </row>
    <row r="25" spans="1:7" x14ac:dyDescent="0.25">
      <c r="A25" s="1"/>
      <c r="B25" s="53" t="s">
        <v>18</v>
      </c>
      <c r="C25" s="53" t="s">
        <v>12</v>
      </c>
      <c r="D25" s="55"/>
      <c r="E25" s="53" t="s">
        <v>38</v>
      </c>
      <c r="F25" s="37"/>
      <c r="G25" s="1"/>
    </row>
    <row r="26" spans="1:7" x14ac:dyDescent="0.25">
      <c r="A26" s="1"/>
      <c r="B26" s="25" t="s">
        <v>271</v>
      </c>
      <c r="C26" s="22">
        <v>0</v>
      </c>
      <c r="D26" s="14" t="s">
        <v>3</v>
      </c>
      <c r="E26" s="9">
        <v>0</v>
      </c>
      <c r="F26" s="14" t="s">
        <v>3</v>
      </c>
      <c r="G26" s="1"/>
    </row>
    <row r="27" spans="1:7" x14ac:dyDescent="0.25">
      <c r="A27" s="1"/>
      <c r="B27" s="38" t="s">
        <v>220</v>
      </c>
      <c r="C27" s="12">
        <f>SUM(C26:C26)</f>
        <v>0</v>
      </c>
      <c r="D27" s="13" t="s">
        <v>3</v>
      </c>
      <c r="E27" s="12">
        <f>SUM(E26:E26)</f>
        <v>0</v>
      </c>
      <c r="F27" s="13" t="s">
        <v>3</v>
      </c>
      <c r="G27" s="1"/>
    </row>
    <row r="28" spans="1:7" x14ac:dyDescent="0.25">
      <c r="A28" s="1"/>
      <c r="B28" s="27" t="s">
        <v>10</v>
      </c>
      <c r="C28" s="28">
        <f>-C27*'Fane 5. Individuelt eff. krav'!G11</f>
        <v>0</v>
      </c>
      <c r="D28" s="29" t="s">
        <v>3</v>
      </c>
      <c r="E28" s="28">
        <f>-E27*'Fane 5. Individuelt eff. krav'!G11</f>
        <v>0</v>
      </c>
      <c r="F28" s="29" t="s">
        <v>3</v>
      </c>
      <c r="G28" s="1"/>
    </row>
    <row r="29" spans="1:7" x14ac:dyDescent="0.25">
      <c r="A29" s="1"/>
      <c r="B29" s="27" t="s">
        <v>145</v>
      </c>
      <c r="C29" s="28">
        <f>-C27*'Fane 14. Nøgletal'!C27</f>
        <v>0</v>
      </c>
      <c r="D29" s="29" t="s">
        <v>3</v>
      </c>
      <c r="E29" s="28">
        <f>-E27*'Fane 14. Nøgletal'!C22</f>
        <v>0</v>
      </c>
      <c r="F29" s="29" t="s">
        <v>3</v>
      </c>
      <c r="G29" s="1"/>
    </row>
    <row r="30" spans="1:7" x14ac:dyDescent="0.25">
      <c r="A30" s="1"/>
      <c r="B30" s="38" t="s">
        <v>222</v>
      </c>
      <c r="C30" s="12">
        <f>SUM(C27:C29)*(1+'Fane 14. Nøgletal'!C13)^4</f>
        <v>0</v>
      </c>
      <c r="D30" s="13" t="s">
        <v>3</v>
      </c>
      <c r="E30" s="12">
        <f>SUM(E27:E29)*(1+'Fane 14. Nøgletal'!C13)^4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88" t="s">
        <v>223</v>
      </c>
      <c r="C32" s="89"/>
      <c r="D32" s="89"/>
      <c r="E32" s="89"/>
      <c r="F32" s="90"/>
      <c r="G32" s="1"/>
    </row>
    <row r="33" spans="1:7" x14ac:dyDescent="0.25">
      <c r="A33" s="1"/>
      <c r="B33" s="53" t="s">
        <v>18</v>
      </c>
      <c r="C33" s="53" t="s">
        <v>12</v>
      </c>
      <c r="D33" s="55"/>
      <c r="E33" s="53" t="s">
        <v>38</v>
      </c>
      <c r="F33" s="37"/>
      <c r="G33" s="1"/>
    </row>
    <row r="34" spans="1:7" x14ac:dyDescent="0.25">
      <c r="A34" s="1"/>
      <c r="B34" s="25" t="s">
        <v>271</v>
      </c>
      <c r="C34" s="22">
        <v>0</v>
      </c>
      <c r="D34" s="14" t="s">
        <v>3</v>
      </c>
      <c r="E34" s="9">
        <v>0</v>
      </c>
      <c r="F34" s="14" t="s">
        <v>3</v>
      </c>
      <c r="G34" s="1"/>
    </row>
    <row r="35" spans="1:7" x14ac:dyDescent="0.25">
      <c r="A35" s="1"/>
      <c r="B35" s="38" t="s">
        <v>220</v>
      </c>
      <c r="C35" s="12">
        <f>SUM(C34:C34)</f>
        <v>0</v>
      </c>
      <c r="D35" s="13" t="s">
        <v>3</v>
      </c>
      <c r="E35" s="12">
        <f>SUM(E34:E34)</f>
        <v>0</v>
      </c>
      <c r="F35" s="13" t="s">
        <v>3</v>
      </c>
      <c r="G35" s="1"/>
    </row>
    <row r="36" spans="1:7" x14ac:dyDescent="0.25">
      <c r="A36" s="1"/>
      <c r="B36" s="27" t="s">
        <v>10</v>
      </c>
      <c r="C36" s="28">
        <f>-C35*'Fane 5. Individuelt eff. krav'!G11</f>
        <v>0</v>
      </c>
      <c r="D36" s="29" t="s">
        <v>3</v>
      </c>
      <c r="E36" s="28">
        <f>-E35*'Fane 5. Individuelt eff. krav'!G11</f>
        <v>0</v>
      </c>
      <c r="F36" s="29" t="s">
        <v>3</v>
      </c>
      <c r="G36" s="1"/>
    </row>
    <row r="37" spans="1:7" x14ac:dyDescent="0.25">
      <c r="A37" s="1"/>
      <c r="B37" s="27" t="s">
        <v>145</v>
      </c>
      <c r="C37" s="28">
        <f>-C35*'Fane 14. Nøgletal'!C27</f>
        <v>0</v>
      </c>
      <c r="D37" s="29" t="s">
        <v>3</v>
      </c>
      <c r="E37" s="28">
        <f>-E35*'Fane 14. Nøgletal'!C22</f>
        <v>0</v>
      </c>
      <c r="F37" s="29" t="s">
        <v>3</v>
      </c>
      <c r="G37" s="1"/>
    </row>
    <row r="38" spans="1:7" x14ac:dyDescent="0.25">
      <c r="A38" s="1"/>
      <c r="B38" s="38" t="s">
        <v>224</v>
      </c>
      <c r="C38" s="12">
        <f>SUM(C35:C37)*(1+'Fane 14. Nøgletal'!C13)^5</f>
        <v>0</v>
      </c>
      <c r="D38" s="13" t="s">
        <v>3</v>
      </c>
      <c r="E38" s="12">
        <f>SUM(E35:E37)*(1+'Fane 14. Nøgletal'!C13)^5</f>
        <v>0</v>
      </c>
      <c r="F38" s="13" t="s">
        <v>3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0l6sFZhsLHTk6Iy2ZC78P52CWRHmFmD789lygBcr9tCQgUMUJ7IBB1rsWuXFKmPj3/qKSaNy7zm8LXQPw1btlw==" saltValue="J0F5G9hy3Rtf6yJSHZZnKw==" spinCount="100000" sheet="1" objects="1" scenarios="1"/>
  <mergeCells count="5">
    <mergeCell ref="B3:F4"/>
    <mergeCell ref="B8:F8"/>
    <mergeCell ref="B16:F16"/>
    <mergeCell ref="B24:F24"/>
    <mergeCell ref="B32:F3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1" t="s">
        <v>169</v>
      </c>
      <c r="C3" s="91"/>
      <c r="D3" s="91"/>
      <c r="E3" s="91"/>
      <c r="F3" s="91"/>
      <c r="G3" s="1"/>
    </row>
    <row r="4" spans="1:7" ht="15" customHeight="1" x14ac:dyDescent="0.25">
      <c r="A4" s="1"/>
      <c r="B4" s="91"/>
      <c r="C4" s="91"/>
      <c r="D4" s="91"/>
      <c r="E4" s="91"/>
      <c r="F4" s="91"/>
      <c r="G4" s="1"/>
    </row>
    <row r="5" spans="1:7" x14ac:dyDescent="0.25">
      <c r="A5" s="1"/>
      <c r="B5" s="91"/>
      <c r="C5" s="91"/>
      <c r="D5" s="91"/>
      <c r="E5" s="91"/>
      <c r="F5" s="9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8" t="s">
        <v>125</v>
      </c>
      <c r="C8" s="89"/>
      <c r="D8" s="89"/>
      <c r="E8" s="89"/>
      <c r="F8" s="90"/>
      <c r="G8" s="1"/>
    </row>
    <row r="9" spans="1:7" x14ac:dyDescent="0.25">
      <c r="A9" s="1"/>
      <c r="B9" s="111" t="s">
        <v>284</v>
      </c>
      <c r="C9" s="112"/>
      <c r="D9" s="113"/>
      <c r="E9" s="9">
        <f>220604</f>
        <v>220604</v>
      </c>
      <c r="F9" s="14" t="s">
        <v>3</v>
      </c>
      <c r="G9" s="1"/>
    </row>
    <row r="10" spans="1:7" x14ac:dyDescent="0.25">
      <c r="A10" s="1"/>
      <c r="B10" s="82" t="s">
        <v>10</v>
      </c>
      <c r="C10" s="83"/>
      <c r="D10" s="84"/>
      <c r="E10" s="9">
        <f>-E9*'Fane 5. Individuelt eff. krav'!G11</f>
        <v>-2360.1370551704731</v>
      </c>
      <c r="F10" s="14" t="s">
        <v>3</v>
      </c>
      <c r="G10" s="1"/>
    </row>
    <row r="11" spans="1:7" x14ac:dyDescent="0.25">
      <c r="A11" s="1"/>
      <c r="B11" s="82" t="s">
        <v>29</v>
      </c>
      <c r="C11" s="83"/>
      <c r="D11" s="84"/>
      <c r="E11" s="9">
        <f>-E9*'Fane 14. Nøgletal'!C27</f>
        <v>-4412.08</v>
      </c>
      <c r="F11" s="14" t="s">
        <v>3</v>
      </c>
      <c r="G11" s="1"/>
    </row>
    <row r="12" spans="1:7" x14ac:dyDescent="0.25">
      <c r="A12" s="1"/>
      <c r="B12" s="88" t="s">
        <v>128</v>
      </c>
      <c r="C12" s="89"/>
      <c r="D12" s="90"/>
      <c r="E12" s="12">
        <f>SUM(E9:E11)*(1+'Fane 14. Nøgletal'!C12)^3</f>
        <v>226719.83407053803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88" t="s">
        <v>126</v>
      </c>
      <c r="C14" s="89"/>
      <c r="D14" s="89"/>
      <c r="E14" s="89"/>
      <c r="F14" s="90"/>
      <c r="G14" s="1"/>
    </row>
    <row r="15" spans="1:7" x14ac:dyDescent="0.25">
      <c r="A15" s="1"/>
      <c r="B15" s="111" t="s">
        <v>207</v>
      </c>
      <c r="C15" s="112"/>
      <c r="D15" s="113"/>
      <c r="E15" s="9">
        <v>224332</v>
      </c>
      <c r="F15" s="14" t="s">
        <v>3</v>
      </c>
      <c r="G15" s="1"/>
    </row>
    <row r="16" spans="1:7" x14ac:dyDescent="0.25">
      <c r="A16" s="1"/>
      <c r="B16" s="82" t="s">
        <v>10</v>
      </c>
      <c r="C16" s="83"/>
      <c r="D16" s="84"/>
      <c r="E16" s="9">
        <f>-E15*'Fane 5. Individuelt eff. krav'!G11</f>
        <v>-2400.021150389397</v>
      </c>
      <c r="F16" s="14" t="s">
        <v>3</v>
      </c>
      <c r="G16" s="1"/>
    </row>
    <row r="17" spans="1:7" x14ac:dyDescent="0.25">
      <c r="A17" s="1"/>
      <c r="B17" s="82" t="s">
        <v>29</v>
      </c>
      <c r="C17" s="83"/>
      <c r="D17" s="84"/>
      <c r="E17" s="9">
        <f>-E15*'Fane 14. Nøgletal'!C27</f>
        <v>-4486.6400000000003</v>
      </c>
      <c r="F17" s="14" t="s">
        <v>3</v>
      </c>
      <c r="G17" s="1"/>
    </row>
    <row r="18" spans="1:7" x14ac:dyDescent="0.25">
      <c r="A18" s="1"/>
      <c r="B18" s="88" t="s">
        <v>129</v>
      </c>
      <c r="C18" s="89"/>
      <c r="D18" s="90"/>
      <c r="E18" s="12">
        <f>SUM(E15:E17)*(1+'Fane 14. Nøgletal'!C13)^3</f>
        <v>225501.32679189314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88" t="s">
        <v>127</v>
      </c>
      <c r="C20" s="89"/>
      <c r="D20" s="89"/>
      <c r="E20" s="89"/>
      <c r="F20" s="90"/>
      <c r="G20" s="1"/>
    </row>
    <row r="21" spans="1:7" x14ac:dyDescent="0.25">
      <c r="A21" s="1"/>
      <c r="B21" s="111" t="s">
        <v>207</v>
      </c>
      <c r="C21" s="112"/>
      <c r="D21" s="113"/>
      <c r="E21" s="9">
        <v>224332</v>
      </c>
      <c r="F21" s="14" t="s">
        <v>3</v>
      </c>
      <c r="G21" s="1"/>
    </row>
    <row r="22" spans="1:7" x14ac:dyDescent="0.25">
      <c r="A22" s="1"/>
      <c r="B22" s="82" t="s">
        <v>10</v>
      </c>
      <c r="C22" s="83"/>
      <c r="D22" s="84"/>
      <c r="E22" s="9">
        <f>-E21*'Fane 5. Individuelt eff. krav'!G11</f>
        <v>-2400.021150389397</v>
      </c>
      <c r="F22" s="14" t="s">
        <v>3</v>
      </c>
      <c r="G22" s="1"/>
    </row>
    <row r="23" spans="1:7" x14ac:dyDescent="0.25">
      <c r="A23" s="1"/>
      <c r="B23" s="82" t="s">
        <v>29</v>
      </c>
      <c r="C23" s="83"/>
      <c r="D23" s="84"/>
      <c r="E23" s="9">
        <f>-E21*'Fane 14. Nøgletal'!C27</f>
        <v>-4486.6400000000003</v>
      </c>
      <c r="F23" s="14" t="s">
        <v>3</v>
      </c>
      <c r="G23" s="1"/>
    </row>
    <row r="24" spans="1:7" x14ac:dyDescent="0.25">
      <c r="A24" s="1"/>
      <c r="B24" s="88" t="s">
        <v>130</v>
      </c>
      <c r="C24" s="89"/>
      <c r="D24" s="90"/>
      <c r="E24" s="12">
        <f>SUM(E21:E23)*(1+'Fane 14. Nøgletal'!C13)^4</f>
        <v>228252.44297875423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88" t="s">
        <v>208</v>
      </c>
      <c r="C26" s="89"/>
      <c r="D26" s="89"/>
      <c r="E26" s="89"/>
      <c r="F26" s="90"/>
      <c r="G26" s="1"/>
    </row>
    <row r="27" spans="1:7" x14ac:dyDescent="0.25">
      <c r="A27" s="1"/>
      <c r="B27" s="111" t="s">
        <v>207</v>
      </c>
      <c r="C27" s="112"/>
      <c r="D27" s="113"/>
      <c r="E27" s="9">
        <v>224332</v>
      </c>
      <c r="F27" s="14" t="s">
        <v>3</v>
      </c>
      <c r="G27" s="1"/>
    </row>
    <row r="28" spans="1:7" x14ac:dyDescent="0.25">
      <c r="A28" s="1"/>
      <c r="B28" s="82" t="s">
        <v>10</v>
      </c>
      <c r="C28" s="83"/>
      <c r="D28" s="84"/>
      <c r="E28" s="9">
        <f>-E27*'Fane 5. Individuelt eff. krav'!G11</f>
        <v>-2400.021150389397</v>
      </c>
      <c r="F28" s="14" t="s">
        <v>3</v>
      </c>
      <c r="G28" s="1"/>
    </row>
    <row r="29" spans="1:7" x14ac:dyDescent="0.25">
      <c r="A29" s="1"/>
      <c r="B29" s="82" t="s">
        <v>29</v>
      </c>
      <c r="C29" s="83"/>
      <c r="D29" s="84"/>
      <c r="E29" s="9">
        <f>-E27*'Fane 14. Nøgletal'!C27</f>
        <v>-4486.6400000000003</v>
      </c>
      <c r="F29" s="14" t="s">
        <v>3</v>
      </c>
      <c r="G29" s="1"/>
    </row>
    <row r="30" spans="1:7" x14ac:dyDescent="0.25">
      <c r="A30" s="1"/>
      <c r="B30" s="88" t="s">
        <v>209</v>
      </c>
      <c r="C30" s="89"/>
      <c r="D30" s="90"/>
      <c r="E30" s="12">
        <f>SUM(E27:E29)*(1+'Fane 14. Nøgletal'!C13)^5</f>
        <v>231037.12278309505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xBpnPxukBQsTaxDuhfx9mGhrEmcET8yRoc8CY8i1yJUVwA9E+OY0rJVEvbrm7cftmJrXPaBI3ihwxCL53Rbb3Q==" saltValue="KQ100HyHF8+zQEodrrntnQ==" spinCount="100000" sheet="1" objects="1" scenarios="1"/>
  <mergeCells count="21">
    <mergeCell ref="B3:F5"/>
    <mergeCell ref="B8:F8"/>
    <mergeCell ref="B9:D9"/>
    <mergeCell ref="B18:D18"/>
    <mergeCell ref="B20:F20"/>
    <mergeCell ref="B14:F14"/>
    <mergeCell ref="B15:D15"/>
    <mergeCell ref="B12:D12"/>
    <mergeCell ref="B10:D10"/>
    <mergeCell ref="B11:D11"/>
    <mergeCell ref="B16:D16"/>
    <mergeCell ref="B17:D17"/>
    <mergeCell ref="B30:D30"/>
    <mergeCell ref="B26:F26"/>
    <mergeCell ref="B27:D27"/>
    <mergeCell ref="B24:D24"/>
    <mergeCell ref="B21:D21"/>
    <mergeCell ref="B22:D22"/>
    <mergeCell ref="B23:D23"/>
    <mergeCell ref="B28:D28"/>
    <mergeCell ref="B29:D2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5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36.42578125" style="2" customWidth="1"/>
    <col min="3" max="3" width="15.5703125" style="2" customWidth="1"/>
    <col min="4" max="4" width="3.28515625" style="2" customWidth="1"/>
    <col min="5" max="5" width="17.1406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1" t="s">
        <v>210</v>
      </c>
      <c r="C3" s="91"/>
      <c r="D3" s="91"/>
      <c r="E3" s="91"/>
      <c r="F3" s="91"/>
      <c r="G3" s="1"/>
    </row>
    <row r="4" spans="1:7" ht="25.5" customHeight="1" x14ac:dyDescent="0.25">
      <c r="A4" s="1"/>
      <c r="B4" s="91"/>
      <c r="C4" s="91"/>
      <c r="D4" s="91"/>
      <c r="E4" s="91"/>
      <c r="F4" s="9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8" t="s">
        <v>211</v>
      </c>
      <c r="C8" s="89"/>
      <c r="D8" s="89"/>
      <c r="E8" s="89"/>
      <c r="F8" s="90"/>
      <c r="G8" s="1"/>
    </row>
    <row r="9" spans="1:7" ht="15" customHeight="1" x14ac:dyDescent="0.25">
      <c r="A9" s="1"/>
      <c r="B9" s="36" t="s">
        <v>212</v>
      </c>
      <c r="C9" s="36" t="s">
        <v>12</v>
      </c>
      <c r="D9" s="37"/>
      <c r="E9" s="36" t="s">
        <v>38</v>
      </c>
      <c r="F9" s="37"/>
      <c r="G9" s="1"/>
    </row>
    <row r="10" spans="1:7" x14ac:dyDescent="0.25">
      <c r="A10" s="1"/>
      <c r="B10" s="25" t="s">
        <v>268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25">
      <c r="A11" s="1"/>
      <c r="B11" s="21" t="s">
        <v>213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25">
      <c r="A12" s="1"/>
      <c r="B12" s="21" t="s">
        <v>225</v>
      </c>
      <c r="C12" s="12">
        <f>C11*(1+'Fane 14. Nøgletal'!C13)</f>
        <v>0</v>
      </c>
      <c r="D12" s="13" t="s">
        <v>3</v>
      </c>
      <c r="E12" s="12">
        <f>E11*(1+'Fane 14. Nøgletal'!C13)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</sheetData>
  <sheetProtection algorithmName="SHA-512" hashValue="WYN4qKo8QVw5L1zyt4k9Cq5MEHVJqA/EUveZnrH3U+ztpU6eyXFQq/IBB4oG1faM7qOBFmK4mITYObbLjxX2AA==" saltValue="KT634l2okTWDKLqeZ0i4tw==" spinCount="100000" sheet="1" objects="1" scenarios="1"/>
  <mergeCells count="2">
    <mergeCell ref="B3:F4"/>
    <mergeCell ref="B8:F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1" t="s">
        <v>166</v>
      </c>
      <c r="C3" s="91"/>
      <c r="D3" s="91"/>
      <c r="E3" s="91"/>
      <c r="F3" s="91"/>
      <c r="G3" s="1"/>
    </row>
    <row r="4" spans="1:7" ht="25.5" customHeight="1" x14ac:dyDescent="0.25">
      <c r="A4" s="1"/>
      <c r="B4" s="91"/>
      <c r="C4" s="91"/>
      <c r="D4" s="91"/>
      <c r="E4" s="91"/>
      <c r="F4" s="9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8" t="s">
        <v>132</v>
      </c>
      <c r="C8" s="89"/>
      <c r="D8" s="89"/>
      <c r="E8" s="89"/>
      <c r="F8" s="90"/>
      <c r="G8" s="1"/>
    </row>
    <row r="9" spans="1:7" ht="15" customHeight="1" x14ac:dyDescent="0.25">
      <c r="A9" s="1"/>
      <c r="B9" s="36" t="s">
        <v>19</v>
      </c>
      <c r="C9" s="36" t="s">
        <v>12</v>
      </c>
      <c r="D9" s="37"/>
      <c r="E9" s="36" t="s">
        <v>38</v>
      </c>
      <c r="F9" s="37"/>
      <c r="G9" s="1"/>
    </row>
    <row r="10" spans="1:7" x14ac:dyDescent="0.25">
      <c r="A10" s="1"/>
      <c r="B10" s="25" t="s">
        <v>269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8" t="s">
        <v>51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38" t="s">
        <v>119</v>
      </c>
      <c r="C12" s="12">
        <f>C11*(1+'Fane 14. Nøgletal'!C13)</f>
        <v>0</v>
      </c>
      <c r="D12" s="13" t="s">
        <v>3</v>
      </c>
      <c r="E12" s="12">
        <f>E11*(1+'Fane 14. Nøgletal'!C13)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88" t="s">
        <v>131</v>
      </c>
      <c r="C14" s="89"/>
      <c r="D14" s="89"/>
      <c r="E14" s="89"/>
      <c r="F14" s="90"/>
      <c r="G14" s="1"/>
    </row>
    <row r="15" spans="1:7" ht="26.25" x14ac:dyDescent="0.25">
      <c r="A15" s="1"/>
      <c r="B15" s="36" t="s">
        <v>19</v>
      </c>
      <c r="C15" s="36" t="s">
        <v>12</v>
      </c>
      <c r="D15" s="37"/>
      <c r="E15" s="36" t="s">
        <v>38</v>
      </c>
      <c r="F15" s="37"/>
      <c r="G15" s="1"/>
    </row>
    <row r="16" spans="1:7" x14ac:dyDescent="0.25">
      <c r="A16" s="1"/>
      <c r="B16" s="25" t="s">
        <v>269</v>
      </c>
      <c r="C16" s="9">
        <v>0</v>
      </c>
      <c r="D16" s="14" t="s">
        <v>3</v>
      </c>
      <c r="E16" s="9">
        <v>0</v>
      </c>
      <c r="F16" s="14" t="s">
        <v>3</v>
      </c>
      <c r="G16" s="1"/>
    </row>
    <row r="17" spans="1:7" x14ac:dyDescent="0.25">
      <c r="A17" s="1"/>
      <c r="B17" s="38" t="s">
        <v>51</v>
      </c>
      <c r="C17" s="12">
        <f>SUM(C16:C16)</f>
        <v>0</v>
      </c>
      <c r="D17" s="13" t="s">
        <v>3</v>
      </c>
      <c r="E17" s="12">
        <f>SUM(E16:E16)</f>
        <v>0</v>
      </c>
      <c r="F17" s="13" t="s">
        <v>3</v>
      </c>
      <c r="G17" s="1"/>
    </row>
    <row r="18" spans="1:7" x14ac:dyDescent="0.25">
      <c r="A18" s="1"/>
      <c r="B18" s="38" t="s">
        <v>120</v>
      </c>
      <c r="C18" s="12">
        <f>C17*(1+'Fane 14. Nøgletal'!C13)^2</f>
        <v>0</v>
      </c>
      <c r="D18" s="13" t="s">
        <v>3</v>
      </c>
      <c r="E18" s="12">
        <f>E17*(1+'Fane 14. Nøgletal'!C13)^2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88" t="s">
        <v>133</v>
      </c>
      <c r="C20" s="89"/>
      <c r="D20" s="89"/>
      <c r="E20" s="89"/>
      <c r="F20" s="90"/>
      <c r="G20" s="1"/>
    </row>
    <row r="21" spans="1:7" ht="26.25" x14ac:dyDescent="0.25">
      <c r="A21" s="1"/>
      <c r="B21" s="36" t="s">
        <v>19</v>
      </c>
      <c r="C21" s="36" t="s">
        <v>12</v>
      </c>
      <c r="D21" s="37"/>
      <c r="E21" s="36" t="s">
        <v>38</v>
      </c>
      <c r="F21" s="37"/>
      <c r="G21" s="1"/>
    </row>
    <row r="22" spans="1:7" x14ac:dyDescent="0.25">
      <c r="A22" s="1"/>
      <c r="B22" s="25" t="s">
        <v>269</v>
      </c>
      <c r="C22" s="9">
        <v>0</v>
      </c>
      <c r="D22" s="14" t="s">
        <v>3</v>
      </c>
      <c r="E22" s="9">
        <v>0</v>
      </c>
      <c r="F22" s="14" t="s">
        <v>3</v>
      </c>
      <c r="G22" s="1"/>
    </row>
    <row r="23" spans="1:7" x14ac:dyDescent="0.25">
      <c r="A23" s="1"/>
      <c r="B23" s="38" t="s">
        <v>51</v>
      </c>
      <c r="C23" s="12">
        <f>SUM(C22:C22)</f>
        <v>0</v>
      </c>
      <c r="D23" s="13" t="s">
        <v>3</v>
      </c>
      <c r="E23" s="12">
        <f>SUM(E22:E22)</f>
        <v>0</v>
      </c>
      <c r="F23" s="13" t="s">
        <v>3</v>
      </c>
      <c r="G23" s="1"/>
    </row>
    <row r="24" spans="1:7" x14ac:dyDescent="0.25">
      <c r="A24" s="1"/>
      <c r="B24" s="38" t="s">
        <v>121</v>
      </c>
      <c r="C24" s="12">
        <f>C23*(1+'Fane 14. Nøgletal'!C13)^3</f>
        <v>0</v>
      </c>
      <c r="D24" s="13" t="s">
        <v>3</v>
      </c>
      <c r="E24" s="12">
        <f>E23*(1+'Fane 14. Nøgletal'!C13)^3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88" t="s">
        <v>227</v>
      </c>
      <c r="C26" s="89"/>
      <c r="D26" s="89"/>
      <c r="E26" s="89"/>
      <c r="F26" s="90"/>
      <c r="G26" s="1"/>
    </row>
    <row r="27" spans="1:7" ht="26.25" x14ac:dyDescent="0.25">
      <c r="A27" s="1"/>
      <c r="B27" s="36" t="s">
        <v>19</v>
      </c>
      <c r="C27" s="36" t="s">
        <v>12</v>
      </c>
      <c r="D27" s="37"/>
      <c r="E27" s="36" t="s">
        <v>38</v>
      </c>
      <c r="F27" s="37"/>
      <c r="G27" s="1"/>
    </row>
    <row r="28" spans="1:7" x14ac:dyDescent="0.25">
      <c r="A28" s="1"/>
      <c r="B28" s="25" t="s">
        <v>269</v>
      </c>
      <c r="C28" s="9">
        <v>0</v>
      </c>
      <c r="D28" s="14" t="s">
        <v>3</v>
      </c>
      <c r="E28" s="9">
        <v>0</v>
      </c>
      <c r="F28" s="14" t="s">
        <v>3</v>
      </c>
      <c r="G28" s="1"/>
    </row>
    <row r="29" spans="1:7" x14ac:dyDescent="0.25">
      <c r="A29" s="1"/>
      <c r="B29" s="38" t="s">
        <v>51</v>
      </c>
      <c r="C29" s="12">
        <f>SUM(C28:C28)</f>
        <v>0</v>
      </c>
      <c r="D29" s="13" t="s">
        <v>3</v>
      </c>
      <c r="E29" s="12">
        <f>SUM(E28:E28)</f>
        <v>0</v>
      </c>
      <c r="F29" s="13" t="s">
        <v>3</v>
      </c>
      <c r="G29" s="1"/>
    </row>
    <row r="30" spans="1:7" x14ac:dyDescent="0.25">
      <c r="A30" s="1"/>
      <c r="B30" s="38" t="s">
        <v>228</v>
      </c>
      <c r="C30" s="12">
        <f>C29*(1+'Fane 14. Nøgletal'!C13)^4</f>
        <v>0</v>
      </c>
      <c r="D30" s="13" t="s">
        <v>3</v>
      </c>
      <c r="E30" s="12">
        <f>E29*(1+'Fane 14. Nøgletal'!C13)^4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QFksRp7iCFeW43mJMP9xZIWAbA0VV6AZxYmphqAPQWhxTPrT/ccV5o2H11r2IUtMUIGAv3wArhQERpZx8mY6jg==" saltValue="3jAcGMjyfAd+gOsjSMZFdw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D49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5.4257812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91" t="s">
        <v>257</v>
      </c>
      <c r="C3" s="91"/>
      <c r="D3" s="1"/>
    </row>
    <row r="4" spans="1:4" ht="25.5" customHeight="1" x14ac:dyDescent="0.25">
      <c r="A4" s="1"/>
      <c r="B4" s="91"/>
      <c r="C4" s="9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38" t="s">
        <v>15</v>
      </c>
      <c r="C8" s="20"/>
      <c r="D8" s="1"/>
    </row>
    <row r="9" spans="1:4" x14ac:dyDescent="0.25">
      <c r="A9" s="1"/>
      <c r="B9" s="56" t="s">
        <v>170</v>
      </c>
      <c r="C9" s="26">
        <v>1.2699999999999999E-2</v>
      </c>
      <c r="D9" s="1"/>
    </row>
    <row r="10" spans="1:4" x14ac:dyDescent="0.25">
      <c r="A10" s="1"/>
      <c r="B10" s="56" t="s">
        <v>171</v>
      </c>
      <c r="C10" s="26">
        <v>1.7500000000000002E-2</v>
      </c>
      <c r="D10" s="1"/>
    </row>
    <row r="11" spans="1:4" x14ac:dyDescent="0.25">
      <c r="A11" s="1"/>
      <c r="B11" s="56" t="s">
        <v>24</v>
      </c>
      <c r="C11" s="26">
        <v>1.6899999999999998E-2</v>
      </c>
      <c r="D11" s="1"/>
    </row>
    <row r="12" spans="1:4" x14ac:dyDescent="0.25">
      <c r="A12" s="1"/>
      <c r="B12" s="39" t="s">
        <v>172</v>
      </c>
      <c r="C12" s="40">
        <v>1.9699999999999999E-2</v>
      </c>
      <c r="D12" s="1"/>
    </row>
    <row r="13" spans="1:4" x14ac:dyDescent="0.25">
      <c r="A13" s="1"/>
      <c r="B13" s="39" t="s">
        <v>217</v>
      </c>
      <c r="C13" s="40">
        <v>1.2200000000000001E-2</v>
      </c>
      <c r="D13" s="1"/>
    </row>
    <row r="14" spans="1:4" x14ac:dyDescent="0.25">
      <c r="A14" s="1"/>
      <c r="B14" s="38"/>
      <c r="C14" s="20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38" t="s">
        <v>153</v>
      </c>
      <c r="C17" s="20"/>
      <c r="D17" s="1"/>
    </row>
    <row r="18" spans="1:4" x14ac:dyDescent="0.25">
      <c r="A18" s="1"/>
      <c r="B18" s="56" t="s">
        <v>173</v>
      </c>
      <c r="C18" s="23">
        <v>9.1000000000000004E-3</v>
      </c>
      <c r="D18" s="1"/>
    </row>
    <row r="19" spans="1:4" x14ac:dyDescent="0.25">
      <c r="A19" s="1"/>
      <c r="B19" s="56" t="s">
        <v>174</v>
      </c>
      <c r="C19" s="23">
        <v>1.77E-2</v>
      </c>
      <c r="D19" s="1"/>
    </row>
    <row r="20" spans="1:4" x14ac:dyDescent="0.25">
      <c r="A20" s="1"/>
      <c r="B20" s="56" t="s">
        <v>175</v>
      </c>
      <c r="C20" s="23">
        <v>8.6999999999999994E-3</v>
      </c>
      <c r="D20" s="1"/>
    </row>
    <row r="21" spans="1:4" x14ac:dyDescent="0.25">
      <c r="A21" s="1"/>
      <c r="B21" s="56" t="s">
        <v>176</v>
      </c>
      <c r="C21" s="41">
        <v>2.8400000000000002E-2</v>
      </c>
      <c r="D21" s="1"/>
    </row>
    <row r="22" spans="1:4" x14ac:dyDescent="0.25">
      <c r="A22" s="1"/>
      <c r="B22" s="56" t="s">
        <v>229</v>
      </c>
      <c r="C22" s="41">
        <v>2.75E-2</v>
      </c>
      <c r="D22" s="1"/>
    </row>
    <row r="23" spans="1:4" x14ac:dyDescent="0.25">
      <c r="A23" s="1"/>
      <c r="B23" s="38"/>
      <c r="C23" s="20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38" t="s">
        <v>154</v>
      </c>
      <c r="C26" s="20"/>
      <c r="D26" s="1"/>
    </row>
    <row r="27" spans="1:4" x14ac:dyDescent="0.25">
      <c r="A27" s="1"/>
      <c r="B27" s="56" t="s">
        <v>177</v>
      </c>
      <c r="C27" s="26">
        <v>0.02</v>
      </c>
      <c r="D27" s="1"/>
    </row>
    <row r="28" spans="1:4" x14ac:dyDescent="0.25">
      <c r="A28" s="1"/>
      <c r="B28" s="38"/>
      <c r="C28" s="20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</sheetData>
  <sheetProtection algorithmName="SHA-512" hashValue="BOvTjRHIi+Qg6Kw7utvebQSyC70KAz4zoyqTVdJws9D8JVSru5U08vLG9hBmEDsrh6b3SgauhDuC3HpnZSo9Jw==" saltValue="lAC75WpBDWAffQW9xXURNw==" spinCount="100000" sheet="1" objects="1" scenarios="1"/>
  <mergeCells count="1">
    <mergeCell ref="B3:C4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1. Forside</vt:lpstr>
      <vt:lpstr>Fane 2.1. Økonomisk ramme 2021</vt:lpstr>
      <vt:lpstr>Fane 2.2. Økonomisk ramme 2022</vt:lpstr>
      <vt:lpstr>Fane 2.3. Økonomisk ramme 2023</vt:lpstr>
      <vt:lpstr>Fane 2.4. Økonomisk ramme 2024</vt:lpstr>
      <vt:lpstr>Fane 3. Omkostninger i ØR2020</vt:lpstr>
      <vt:lpstr>Fane 4.1. Gen. krav - drift</vt:lpstr>
      <vt:lpstr>Fane 4.2. Gen. krav - anlæg</vt:lpstr>
      <vt:lpstr>Fane 5. Individuelt eff. krav</vt:lpstr>
      <vt:lpstr>Fane 6. Ikke-påvirkelige omk.</vt:lpstr>
      <vt:lpstr>Fane 7. Kontrol af ØR2019</vt:lpstr>
      <vt:lpstr>Fane 8. Korrektion af ØR2019</vt:lpstr>
      <vt:lpstr>Fane 9. Anlægsprojekter</vt:lpstr>
      <vt:lpstr>Fane 10.1. Varige tillæg</vt:lpstr>
      <vt:lpstr>Fane 10.2. Engangstillæg</vt:lpstr>
      <vt:lpstr>Fane 11. Periodevise driftsomk.</vt:lpstr>
      <vt:lpstr>Fane 12. Tilknyttet virksomhed</vt:lpstr>
      <vt:lpstr>Fane 13. Bortfald</vt:lpstr>
      <vt:lpstr>Fane 14.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2020-08-27T11:28:52Z</dcterms:modified>
</cp:coreProperties>
</file>