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idtfyns Vandforsyning a.m.b.a. (V13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3" i="19" l="1"/>
  <c r="E33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4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<sst xmlns="http://schemas.openxmlformats.org/spreadsheetml/2006/main" count="584" uniqueCount="244">
  <si>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</si>
  <si>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</si>
  <si>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</si>
  <si>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</si>
  <si>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</si>
  <si>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</si>
  <si>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</si>
  <si>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</si>
  <si>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</si>
  <si>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</si>
  <si>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</si>
  <si>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</si>
  <si>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</si>
  <si>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</si>
  <si>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</si>
  <si>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</si>
  <si>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</si>
  <si>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</si>
  <si>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</si>
  <si>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</si>
  <si>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</si>
  <si>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</si>
  <si>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</si>
  <si>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</si>
  <si>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</si>
  <si>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</si>
  <si>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</si>
  <si>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</si>
  <si>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</si>
  <si>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</si>
  <si>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</si>
  <si>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</si>
  <si>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</si>
  <si>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</si>
  <si>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</si>
  <si>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</si>
  <si>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</si>
  <si>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</si>
  <si>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</si>
  <si>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</si>
  <si>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</si>
  <si>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</si>
  <si>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</si>
  <si>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</si>
  <si>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</si>
  <si>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</si>
  <si>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</si>
  <si>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</si>
  <si>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</si>
  <si>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</si>
  <si>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</si>
  <si>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</si>
  <si>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</si>
  <si>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</si>
  <si>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</si>
  <si>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</si>
  <si>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</si>
  <si>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</si>
  <si>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</si>
  <si>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</si>
  <si>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</si>
  <si>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</si>
  <si>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</si>
  <si>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</si>
  <si>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</si>
  <si>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</si>
  <si>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</si>
  <si>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</si>
  <si>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</si>
  <si>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</si>
  <si>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</si>
  <si>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</si>
  <si>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</si>
  <si>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</si>
  <si>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</si>
  <si>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</si>
  <si>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</si>
  <si>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</si>
  <si>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</si>
  <si>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</si>
  <si>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</si>
  <si>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</si>
  <si>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</si>
  <si>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</si>
  <si>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</si>
  <si>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</si>
  <si>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</si>
  <si>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</si>
  <si>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</si>
  <si>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</si>
  <si>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</si>
  <si>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</si>
  <si>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</si>
  <si>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</si>
  <si>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</si>
  <si>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</si>
  <si>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</si>
  <si>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</si>
  <si>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</si>
  <si>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</si>
  <si>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</si>
  <si>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</si>
  <si>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</si>
  <si>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</si>
  <si>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</si>
  <si>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</si>
  <si>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</si>
  <si>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</si>
  <si>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</si>
  <si>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</si>
  <si>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</si>
  <si>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</si>
  <si>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</si>
  <si>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</si>
  <si>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</si>
  <si>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</si>
  <si>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</si>
  <si>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</si>
  <si>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</si>
  <si>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</si>
  <si>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</si>
  <si>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</si>
  <si>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</si>
  <si>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</si>
  <si>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</si>
  <si>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</si>
  <si>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</si>
  <si>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</si>
  <si>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</si>
  <si>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</si>
  <si>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</si>
  <si>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</si>
  <si>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</si>
  <si>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</si>
  <si>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</si>
  <si>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</si>
  <si>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</si>
  <si>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</si>
  <si>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</si>
  <si>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</si>
  <si>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</si>
  <si>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</si>
  <si>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</si>
  <si>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</si>
  <si>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</si>
  <si>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</si>
  <si>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</si>
  <si>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</si>
  <si>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</si>
  <si>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</si>
  <si>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</si>
  <si>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</si>
  <si>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</si>
  <si>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</si>
  <si>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</si>
  <si>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</si>
  <si>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</si>
  <si>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</si>
  <si>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</si>
  <si>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</si>
  <si>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</si>
  <si>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</si>
  <si>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</si>
  <si>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</si>
  <si>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</si>
  <si>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</si>
  <si>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</si>
  <si>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</si>
  <si>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</si>
  <si>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</si>
  <si>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</si>
  <si>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</si>
  <si>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</si>
  <si>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</si>
  <si>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</si>
  <si>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</si>
  <si>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</si>
  <si>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</si>
  <si>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</si>
  <si>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</si>
  <si>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</si>
  <si>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</si>
  <si>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</si>
  <si>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</si>
  <si>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</si>
  <si>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</si>
  <si>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</si>
  <si>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</si>
  <si>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</si>
  <si>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</si>
  <si>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</si>
  <si>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</si>
  <si>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</si>
  <si>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</si>
  <si>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</si>
  <si>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</si>
  <si>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</si>
  <si>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</si>
  <si>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</si>
  <si>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</si>
  <si>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</si>
  <si>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</si>
  <si>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</si>
  <si>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</si>
  <si>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</si>
  <si>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</si>
  <si>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</si>
  <si>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</si>
  <si>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</si>
  <si>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</si>
  <si>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</si>
  <si>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</si>
  <si>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</si>
  <si>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</si>
  <si>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</si>
  <si>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</si>
  <si>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</si>
  <si>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</si>
  <si>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</si>
  <si>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</si>
  <si>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</si>
  <si>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</si>
  <si>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</si>
  <si>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</si>
  <si>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</si>
  <si>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</si>
  <si>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</si>
  <si>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</si>
  <si>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</si>
  <si>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</si>
  <si>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</si>
  <si>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</si>
  <si>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</si>
  <si>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</si>
  <si>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</si>
  <si>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</si>
  <si>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</si>
  <si>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engangstillæg</t>
  </si>
  <si>
    <t>Ingen tilknyttet virksomhed</t>
  </si>
  <si>
    <t>Ingen bortfald eller nedsættelse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</si>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</sst>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4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4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4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2" t="s">
        <v>35</v>
      </c>
      <c r="C9" s="11" t="s">
        <v>171</v>
      </c>
      <c r="D9" s="11"/>
      <c r="E9" s="1"/>
      <c r="F9" s="1"/>
    </row>
    <row r="10" spans="1:6" x14ac:dyDescent="0.45">
      <c r="A10" s="1"/>
      <c r="B10" s="51" t="s">
        <v>234</v>
      </c>
      <c r="C10" s="9">
        <v>12112734</v>
      </c>
      <c r="D10" s="14" t="s">
        <v>3</v>
      </c>
      <c r="E10" s="1"/>
      <c r="F10" s="1"/>
    </row>
    <row r="11" spans="1:6" x14ac:dyDescent="0.45">
      <c r="A11" s="1"/>
      <c r="B11" s="51" t="s">
        <v>235</v>
      </c>
      <c r="C11" s="9">
        <v>73558</v>
      </c>
      <c r="D11" s="14" t="s">
        <v>3</v>
      </c>
      <c r="E11" s="1"/>
      <c r="F11" s="1"/>
    </row>
    <row r="12" spans="1:6" x14ac:dyDescent="0.45">
      <c r="A12" s="1"/>
      <c r="B12" s="51" t="s">
        <v>236</v>
      </c>
      <c r="C12" s="9">
        <v>58471</v>
      </c>
      <c r="D12" s="14" t="s">
        <v>3</v>
      </c>
      <c r="E12" s="1"/>
      <c r="F12" s="1"/>
    </row>
    <row r="13" spans="1:6" x14ac:dyDescent="0.45">
      <c r="A13" s="1"/>
      <c r="B13" s="47" t="s">
        <v>169</v>
      </c>
      <c r="C13" s="12">
        <f>SUM(C10:C12)</f>
        <v>12244763</v>
      </c>
      <c r="D13" s="13" t="s">
        <v>3</v>
      </c>
      <c r="E13" s="1"/>
      <c r="F13" s="1"/>
    </row>
    <row r="14" spans="1:6" x14ac:dyDescent="0.45">
      <c r="A14" s="1"/>
      <c r="B14" s="47" t="s">
        <v>170</v>
      </c>
      <c r="C14" s="12">
        <f>C13*(1+'Fane 12. Nøgletal'!C13)^2</f>
        <v>12545357.727724921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172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ht="15" customHeight="1" x14ac:dyDescent="0.45">
      <c r="A5" s="1"/>
      <c r="B5" s="49"/>
      <c r="C5" s="49"/>
      <c r="D5" s="49"/>
      <c r="E5" s="49"/>
      <c r="F5" s="49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-721679.18166666664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2810146.2248503529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2088467.0431836862</v>
      </c>
      <c r="F9" s="17" t="s">
        <v>3</v>
      </c>
      <c r="G9" s="1"/>
    </row>
    <row r="10" spans="1:7" ht="15" customHeight="1" x14ac:dyDescent="0.45">
      <c r="A10" s="1"/>
      <c r="B10" s="47"/>
      <c r="C10" s="48"/>
      <c r="D10" s="48"/>
      <c r="E10" s="48"/>
      <c r="F10" s="20"/>
      <c r="G10" s="1"/>
    </row>
    <row r="11" spans="1:7" ht="28.5" customHeight="1" x14ac:dyDescent="0.45">
      <c r="A11" s="1"/>
      <c r="B11" s="86" t="s">
        <v>132</v>
      </c>
      <c r="C11" s="87"/>
      <c r="D11" s="87"/>
      <c r="E11" s="87"/>
      <c r="F11" s="88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27652713.088381529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20765867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6886846.0883815289</v>
      </c>
      <c r="F17" s="17" t="s">
        <v>3</v>
      </c>
      <c r="G17" s="1"/>
    </row>
    <row r="18" spans="1:7" x14ac:dyDescent="0.45">
      <c r="A18" s="1"/>
      <c r="B18" s="47"/>
      <c r="C18" s="48"/>
      <c r="D18" s="48"/>
      <c r="E18" s="48"/>
      <c r="F18" s="20"/>
      <c r="G18" s="1"/>
    </row>
    <row r="19" spans="1:7" ht="30" customHeight="1" x14ac:dyDescent="0.45">
      <c r="A19" s="1"/>
      <c r="B19" s="86" t="s">
        <v>133</v>
      </c>
      <c r="C19" s="87"/>
      <c r="D19" s="87"/>
      <c r="E19" s="87"/>
      <c r="F19" s="8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24150038.282037657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21509714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181000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2821324.2820376568</v>
      </c>
      <c r="F25" s="17" t="s">
        <v>3</v>
      </c>
      <c r="G25" s="1"/>
    </row>
    <row r="26" spans="1:7" x14ac:dyDescent="0.45">
      <c r="A26" s="1"/>
      <c r="B26" s="47"/>
      <c r="C26" s="48"/>
      <c r="D26" s="48"/>
      <c r="E26" s="48"/>
      <c r="F26" s="20"/>
      <c r="G26" s="1"/>
    </row>
    <row r="27" spans="1:7" ht="28.5" customHeight="1" x14ac:dyDescent="0.45">
      <c r="A27" s="1"/>
      <c r="B27" s="86" t="s">
        <v>179</v>
      </c>
      <c r="C27" s="87"/>
      <c r="D27" s="87"/>
      <c r="E27" s="87"/>
      <c r="F27" s="88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25804981.721019447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26473407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-668425.27898055315</v>
      </c>
      <c r="F33" s="17" t="s">
        <v>3</v>
      </c>
      <c r="G33" s="1"/>
    </row>
    <row r="34" spans="1:7" x14ac:dyDescent="0.45">
      <c r="A34" s="1"/>
      <c r="B34" s="47"/>
      <c r="C34" s="48"/>
      <c r="D34" s="48"/>
      <c r="E34" s="48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242</v>
      </c>
      <c r="C37" s="110"/>
      <c r="D37" s="111"/>
      <c r="E37" s="9">
        <v>1</v>
      </c>
      <c r="F37" s="14"/>
      <c r="G37" s="1"/>
    </row>
    <row r="38" spans="1:7" x14ac:dyDescent="0.45">
      <c r="A38" s="1"/>
      <c r="B38" s="109" t="s">
        <v>243</v>
      </c>
      <c r="C38" s="110"/>
      <c r="D38" s="111"/>
      <c r="E38" s="9">
        <v>1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0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4"/>
      <c r="I9" s="1"/>
    </row>
    <row r="10" spans="1:9" x14ac:dyDescent="0.45">
      <c r="A10" s="1"/>
      <c r="B10" s="39" t="s">
        <v>241</v>
      </c>
      <c r="C10" s="40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7" t="s">
        <v>94</v>
      </c>
      <c r="C8" s="48"/>
      <c r="D8" s="48"/>
      <c r="E8" s="48"/>
      <c r="F8" s="20"/>
      <c r="G8" s="1"/>
    </row>
    <row r="9" spans="1:7" ht="17.25" customHeight="1" x14ac:dyDescent="0.45">
      <c r="A9" s="1"/>
      <c r="B9" s="45" t="s">
        <v>16</v>
      </c>
      <c r="C9" s="45" t="s">
        <v>11</v>
      </c>
      <c r="D9" s="46"/>
      <c r="E9" s="45" t="s">
        <v>34</v>
      </c>
      <c r="F9" s="44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7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7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5" t="s">
        <v>16</v>
      </c>
      <c r="C9" s="45" t="s">
        <v>11</v>
      </c>
      <c r="D9" s="46"/>
      <c r="E9" s="45" t="s">
        <v>34</v>
      </c>
      <c r="F9" s="44"/>
      <c r="G9" s="1"/>
    </row>
    <row r="10" spans="1:7" x14ac:dyDescent="0.45">
      <c r="A10" s="1"/>
      <c r="B10" s="25" t="s">
        <v>237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7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7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5" t="s">
        <v>16</v>
      </c>
      <c r="C17" s="45" t="s">
        <v>11</v>
      </c>
      <c r="D17" s="46"/>
      <c r="E17" s="45" t="s">
        <v>34</v>
      </c>
      <c r="F17" s="44"/>
      <c r="G17" s="1"/>
    </row>
    <row r="18" spans="1:7" x14ac:dyDescent="0.45">
      <c r="A18" s="1"/>
      <c r="B18" s="25" t="s">
        <v>237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7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7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5" t="s">
        <v>16</v>
      </c>
      <c r="C25" s="45" t="s">
        <v>11</v>
      </c>
      <c r="D25" s="46"/>
      <c r="E25" s="45" t="s">
        <v>34</v>
      </c>
      <c r="F25" s="44"/>
      <c r="G25" s="1"/>
    </row>
    <row r="26" spans="1:7" x14ac:dyDescent="0.45">
      <c r="A26" s="1"/>
      <c r="B26" s="25" t="s">
        <v>237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7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7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5" t="s">
        <v>16</v>
      </c>
      <c r="C33" s="45" t="s">
        <v>11</v>
      </c>
      <c r="D33" s="46"/>
      <c r="E33" s="45" t="s">
        <v>34</v>
      </c>
      <c r="F33" s="44"/>
      <c r="G33" s="1"/>
    </row>
    <row r="34" spans="1:7" x14ac:dyDescent="0.45">
      <c r="A34" s="1"/>
      <c r="B34" s="25" t="s">
        <v>237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7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7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3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3" t="s">
        <v>17</v>
      </c>
      <c r="C9" s="43" t="s">
        <v>11</v>
      </c>
      <c r="D9" s="44"/>
      <c r="E9" s="43" t="s">
        <v>34</v>
      </c>
      <c r="F9" s="44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7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7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3" t="s">
        <v>17</v>
      </c>
      <c r="C16" s="43" t="s">
        <v>11</v>
      </c>
      <c r="D16" s="44"/>
      <c r="E16" s="43" t="s">
        <v>34</v>
      </c>
      <c r="F16" s="44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7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7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3" t="s">
        <v>17</v>
      </c>
      <c r="C23" s="43" t="s">
        <v>11</v>
      </c>
      <c r="D23" s="44"/>
      <c r="E23" s="43" t="s">
        <v>34</v>
      </c>
      <c r="F23" s="44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7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7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3" t="s">
        <v>17</v>
      </c>
      <c r="C30" s="43" t="s">
        <v>11</v>
      </c>
      <c r="D30" s="44"/>
      <c r="E30" s="43" t="s">
        <v>34</v>
      </c>
      <c r="F30" s="44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7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7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211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7" t="s">
        <v>14</v>
      </c>
      <c r="C8" s="20"/>
      <c r="D8" s="1"/>
    </row>
    <row r="9" spans="1:4" x14ac:dyDescent="0.45">
      <c r="A9" s="1"/>
      <c r="B9" s="51" t="s">
        <v>141</v>
      </c>
      <c r="C9" s="26">
        <v>1.2699999999999999E-2</v>
      </c>
      <c r="D9" s="1"/>
    </row>
    <row r="10" spans="1:4" x14ac:dyDescent="0.45">
      <c r="A10" s="1"/>
      <c r="B10" s="51" t="s">
        <v>22</v>
      </c>
      <c r="C10" s="26">
        <v>1.7500000000000002E-2</v>
      </c>
      <c r="D10" s="1"/>
    </row>
    <row r="11" spans="1:4" x14ac:dyDescent="0.45">
      <c r="A11" s="1"/>
      <c r="B11" s="51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7" t="s">
        <v>126</v>
      </c>
      <c r="C17" s="20"/>
      <c r="D17" s="1"/>
    </row>
    <row r="18" spans="1:4" x14ac:dyDescent="0.45">
      <c r="A18" s="1"/>
      <c r="B18" s="51" t="s">
        <v>143</v>
      </c>
      <c r="C18" s="23">
        <v>9.1000000000000004E-3</v>
      </c>
      <c r="D18" s="1"/>
    </row>
    <row r="19" spans="1:4" x14ac:dyDescent="0.45">
      <c r="A19" s="1"/>
      <c r="B19" s="51" t="s">
        <v>144</v>
      </c>
      <c r="C19" s="23">
        <v>1.77E-2</v>
      </c>
      <c r="D19" s="1"/>
    </row>
    <row r="20" spans="1:4" x14ac:dyDescent="0.45">
      <c r="A20" s="1"/>
      <c r="B20" s="51" t="s">
        <v>145</v>
      </c>
      <c r="C20" s="23">
        <v>8.6999999999999994E-3</v>
      </c>
      <c r="D20" s="1"/>
    </row>
    <row r="21" spans="1:4" x14ac:dyDescent="0.45">
      <c r="A21" s="1"/>
      <c r="B21" s="51" t="s">
        <v>146</v>
      </c>
      <c r="C21" s="36">
        <v>2.8400000000000002E-2</v>
      </c>
      <c r="D21" s="1"/>
    </row>
    <row r="22" spans="1:4" x14ac:dyDescent="0.45">
      <c r="A22" s="1"/>
      <c r="B22" s="51" t="s">
        <v>186</v>
      </c>
      <c r="C22" s="36">
        <v>2.75E-2</v>
      </c>
      <c r="D22" s="1"/>
    </row>
    <row r="23" spans="1:4" x14ac:dyDescent="0.45">
      <c r="A23" s="1"/>
      <c r="B23" s="47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7" t="s">
        <v>127</v>
      </c>
      <c r="C26" s="20"/>
      <c r="D26" s="1"/>
    </row>
    <row r="27" spans="1:4" x14ac:dyDescent="0.45">
      <c r="A27" s="1"/>
      <c r="B27" s="51" t="s">
        <v>147</v>
      </c>
      <c r="C27" s="26">
        <v>0.02</v>
      </c>
      <c r="D27" s="1"/>
    </row>
    <row r="28" spans="1:4" x14ac:dyDescent="0.45">
      <c r="A28" s="1"/>
      <c r="B28" s="47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7" t="s">
        <v>13</v>
      </c>
      <c r="C8" s="48"/>
      <c r="D8" s="20"/>
      <c r="E8" s="1"/>
    </row>
    <row r="9" spans="1:5" x14ac:dyDescent="0.45">
      <c r="A9" s="1"/>
      <c r="B9" s="50" t="s">
        <v>25</v>
      </c>
      <c r="C9" s="7">
        <f>'Fane 3. Omkostninger i ØR2020'!E20</f>
        <v>15082246.411424803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184003.4062193826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-122729.22872564946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-257733.25135382987</v>
      </c>
      <c r="D19" s="8" t="s">
        <v>3</v>
      </c>
      <c r="E19" s="1"/>
    </row>
    <row r="20" spans="1:5" ht="17.100000000000001" customHeight="1" x14ac:dyDescent="0.45">
      <c r="A20" s="1"/>
      <c r="B20" s="52" t="s">
        <v>20</v>
      </c>
      <c r="C20" s="10">
        <f>SUM(C9:C19)</f>
        <v>14885787.337564705</v>
      </c>
      <c r="D20" s="11" t="s">
        <v>3</v>
      </c>
      <c r="E20" s="1"/>
    </row>
    <row r="21" spans="1:5" ht="15" customHeight="1" x14ac:dyDescent="0.45">
      <c r="A21" s="1"/>
      <c r="B21" s="47" t="s">
        <v>12</v>
      </c>
      <c r="C21" s="48"/>
      <c r="D21" s="20"/>
      <c r="E21" s="1"/>
    </row>
    <row r="22" spans="1:5" ht="15" customHeight="1" x14ac:dyDescent="0.45">
      <c r="A22" s="1"/>
      <c r="B22" s="43" t="s">
        <v>12</v>
      </c>
      <c r="C22" s="10">
        <f>'Fane 6. Ikke-påvirkelige omk.'!C14</f>
        <v>12545357.727724921</v>
      </c>
      <c r="D22" s="11" t="s">
        <v>3</v>
      </c>
      <c r="E22" s="1"/>
    </row>
    <row r="23" spans="1:5" ht="15" customHeight="1" x14ac:dyDescent="0.45">
      <c r="A23" s="1"/>
      <c r="B23" s="47" t="s">
        <v>99</v>
      </c>
      <c r="C23" s="48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2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8"/>
      <c r="D27" s="20"/>
      <c r="E27" s="1"/>
    </row>
    <row r="28" spans="1:5" x14ac:dyDescent="0.45">
      <c r="A28" s="1"/>
      <c r="B28" s="53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47" t="s">
        <v>31</v>
      </c>
      <c r="C29" s="32">
        <f>SUM(C20,C22,C26,C28)</f>
        <v>27431145.065289624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7" t="s">
        <v>13</v>
      </c>
      <c r="C8" s="48"/>
      <c r="D8" s="20"/>
      <c r="E8" s="1"/>
    </row>
    <row r="9" spans="1:5" ht="15" customHeight="1" x14ac:dyDescent="0.45">
      <c r="A9" s="1"/>
      <c r="B9" s="50" t="s">
        <v>26</v>
      </c>
      <c r="C9" s="7">
        <f>'Fane 2.1. Økonomisk ramme 2021'!C20</f>
        <v>14885787.337564705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1" t="s">
        <v>18</v>
      </c>
      <c r="C12" s="9">
        <f>SUM(C9:C11)*'Fane 12. Nøgletal'!C13</f>
        <v>181606.60551828941</v>
      </c>
      <c r="D12" s="8" t="s">
        <v>3</v>
      </c>
      <c r="E12" s="1"/>
    </row>
    <row r="13" spans="1:5" ht="15" customHeight="1" x14ac:dyDescent="0.45">
      <c r="A13" s="1"/>
      <c r="B13" s="41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41" t="s">
        <v>27</v>
      </c>
      <c r="C14" s="9">
        <f>-'Fane 4.1. Gen. krav - drift'!G37</f>
        <v>-121741.99480978033</v>
      </c>
      <c r="D14" s="8" t="s">
        <v>3</v>
      </c>
      <c r="E14" s="1"/>
    </row>
    <row r="15" spans="1:5" ht="15" customHeight="1" x14ac:dyDescent="0.45">
      <c r="A15" s="1"/>
      <c r="B15" s="41" t="s">
        <v>28</v>
      </c>
      <c r="C15" s="9">
        <f>-'Fane 4.2. Gen. krav - anlæg'!G37</f>
        <v>-253703.46310228706</v>
      </c>
      <c r="D15" s="8" t="s">
        <v>3</v>
      </c>
      <c r="E15" s="1"/>
    </row>
    <row r="16" spans="1:5" ht="15" customHeight="1" x14ac:dyDescent="0.45">
      <c r="A16" s="1"/>
      <c r="B16" s="42" t="s">
        <v>20</v>
      </c>
      <c r="C16" s="10">
        <f>SUM(C9:C15)</f>
        <v>14691948.485170927</v>
      </c>
      <c r="D16" s="11" t="s">
        <v>3</v>
      </c>
      <c r="E16" s="1"/>
    </row>
    <row r="17" spans="1:5" x14ac:dyDescent="0.45">
      <c r="A17" s="1"/>
      <c r="B17" s="47" t="s">
        <v>12</v>
      </c>
      <c r="C17" s="48"/>
      <c r="D17" s="20"/>
      <c r="E17" s="1"/>
    </row>
    <row r="18" spans="1:5" ht="15" customHeight="1" x14ac:dyDescent="0.45">
      <c r="A18" s="1"/>
      <c r="B18" s="43" t="s">
        <v>12</v>
      </c>
      <c r="C18" s="10">
        <f>'Fane 6. Ikke-påvirkelige omk.'!C14*(1+'Fane 12. Nøgletal'!C13)</f>
        <v>12698411.092003165</v>
      </c>
      <c r="D18" s="11" t="s">
        <v>3</v>
      </c>
      <c r="E18" s="1"/>
    </row>
    <row r="19" spans="1:5" ht="15" customHeight="1" x14ac:dyDescent="0.45">
      <c r="A19" s="1"/>
      <c r="B19" s="47" t="s">
        <v>99</v>
      </c>
      <c r="C19" s="48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8"/>
      <c r="D23" s="20"/>
      <c r="E23" s="1"/>
    </row>
    <row r="24" spans="1:5" ht="15" customHeight="1" x14ac:dyDescent="0.45">
      <c r="A24" s="1"/>
      <c r="B24" s="53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7" t="s">
        <v>32</v>
      </c>
      <c r="C25" s="12">
        <f>SUM(C16,C18,C22,C24)</f>
        <v>27390359.57717409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7" t="s">
        <v>13</v>
      </c>
      <c r="C7" s="48"/>
      <c r="D7" s="20"/>
      <c r="E7" s="1"/>
    </row>
    <row r="8" spans="1:5" ht="15" customHeight="1" x14ac:dyDescent="0.45">
      <c r="A8" s="1"/>
      <c r="B8" s="50" t="s">
        <v>165</v>
      </c>
      <c r="C8" s="7">
        <f>'Fane 2.2. Økonomisk ramme 2022'!C16</f>
        <v>14691948.485170927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1" t="s">
        <v>18</v>
      </c>
      <c r="C11" s="9">
        <f>SUM(C8:C10)*'Fane 12. Nøgletal'!C13</f>
        <v>179241.77151908531</v>
      </c>
      <c r="D11" s="8" t="s">
        <v>3</v>
      </c>
      <c r="E11" s="1"/>
    </row>
    <row r="12" spans="1:5" ht="15" customHeight="1" x14ac:dyDescent="0.45">
      <c r="A12" s="1"/>
      <c r="B12" s="41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1" t="s">
        <v>27</v>
      </c>
      <c r="C13" s="9">
        <f>-'Fane 4.1. Gen. krav - drift'!G43</f>
        <v>-120762.70220353045</v>
      </c>
      <c r="D13" s="8" t="s">
        <v>3</v>
      </c>
      <c r="E13" s="1"/>
    </row>
    <row r="14" spans="1:5" ht="15" customHeight="1" x14ac:dyDescent="0.45">
      <c r="A14" s="1"/>
      <c r="B14" s="41" t="s">
        <v>28</v>
      </c>
      <c r="C14" s="9">
        <f>-'Fane 4.2. Gen. krav - anlæg'!G43</f>
        <v>-249736.68260495123</v>
      </c>
      <c r="D14" s="8" t="s">
        <v>3</v>
      </c>
      <c r="E14" s="1"/>
    </row>
    <row r="15" spans="1:5" x14ac:dyDescent="0.45">
      <c r="A15" s="1"/>
      <c r="B15" s="42" t="s">
        <v>20</v>
      </c>
      <c r="C15" s="10">
        <f>SUM(C8:C14)</f>
        <v>14500690.87188153</v>
      </c>
      <c r="D15" s="11" t="s">
        <v>3</v>
      </c>
      <c r="E15" s="1"/>
    </row>
    <row r="16" spans="1:5" x14ac:dyDescent="0.45">
      <c r="A16" s="1"/>
      <c r="B16" s="47" t="s">
        <v>12</v>
      </c>
      <c r="C16" s="48"/>
      <c r="D16" s="20"/>
      <c r="E16" s="1"/>
    </row>
    <row r="17" spans="1:5" ht="15" customHeight="1" x14ac:dyDescent="0.45">
      <c r="A17" s="1"/>
      <c r="B17" s="43" t="s">
        <v>12</v>
      </c>
      <c r="C17" s="10">
        <f>'Fane 6. Ikke-påvirkelige omk.'!C14*(1+'Fane 12. Nøgletal'!C13)^2</f>
        <v>12853331.707325604</v>
      </c>
      <c r="D17" s="11" t="s">
        <v>3</v>
      </c>
      <c r="E17" s="1"/>
    </row>
    <row r="18" spans="1:5" ht="15" customHeight="1" x14ac:dyDescent="0.45">
      <c r="A18" s="1"/>
      <c r="B18" s="47" t="s">
        <v>99</v>
      </c>
      <c r="C18" s="48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7" t="s">
        <v>109</v>
      </c>
      <c r="C22" s="12">
        <f>SUM(C15,C17,C21)</f>
        <v>27354022.579207134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7" t="s">
        <v>13</v>
      </c>
      <c r="C7" s="48"/>
      <c r="D7" s="20"/>
      <c r="E7" s="1"/>
    </row>
    <row r="8" spans="1:5" ht="15" customHeight="1" x14ac:dyDescent="0.45">
      <c r="A8" s="1"/>
      <c r="B8" s="50" t="s">
        <v>166</v>
      </c>
      <c r="C8" s="7">
        <f>'Fane 2.3. Økonomisk ramme 2023'!C15</f>
        <v>14500690.87188153</v>
      </c>
      <c r="D8" s="8" t="s">
        <v>3</v>
      </c>
      <c r="E8" s="1"/>
    </row>
    <row r="9" spans="1:5" ht="15" customHeight="1" x14ac:dyDescent="0.45">
      <c r="A9" s="1"/>
      <c r="B9" s="50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1" t="s">
        <v>18</v>
      </c>
      <c r="C11" s="9">
        <f>SUM(C8:C10)*'Fane 12. Nøgletal'!C13</f>
        <v>176908.42863695466</v>
      </c>
      <c r="D11" s="8" t="s">
        <v>3</v>
      </c>
      <c r="E11" s="1"/>
    </row>
    <row r="12" spans="1:5" ht="15" customHeight="1" x14ac:dyDescent="0.45">
      <c r="A12" s="1"/>
      <c r="B12" s="41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1" t="s">
        <v>27</v>
      </c>
      <c r="C13" s="9">
        <f>-'Fane 4.1. Gen. krav - drift'!G49</f>
        <v>-119791.28702700524</v>
      </c>
      <c r="D13" s="8" t="s">
        <v>3</v>
      </c>
      <c r="E13" s="1"/>
    </row>
    <row r="14" spans="1:5" ht="15" customHeight="1" x14ac:dyDescent="0.45">
      <c r="A14" s="1"/>
      <c r="B14" s="41" t="s">
        <v>28</v>
      </c>
      <c r="C14" s="9">
        <f>-'Fane 4.2. Gen. krav - anlæg'!G49</f>
        <v>-245831.9247040815</v>
      </c>
      <c r="D14" s="8" t="s">
        <v>3</v>
      </c>
      <c r="E14" s="1"/>
    </row>
    <row r="15" spans="1:5" x14ac:dyDescent="0.45">
      <c r="A15" s="1"/>
      <c r="B15" s="42" t="s">
        <v>20</v>
      </c>
      <c r="C15" s="10">
        <f>SUM(C8:C14)</f>
        <v>14311976.088787397</v>
      </c>
      <c r="D15" s="11" t="s">
        <v>3</v>
      </c>
      <c r="E15" s="1"/>
    </row>
    <row r="16" spans="1:5" x14ac:dyDescent="0.45">
      <c r="A16" s="1"/>
      <c r="B16" s="47" t="s">
        <v>12</v>
      </c>
      <c r="C16" s="48"/>
      <c r="D16" s="20"/>
      <c r="E16" s="1"/>
    </row>
    <row r="17" spans="1:5" ht="15" customHeight="1" x14ac:dyDescent="0.45">
      <c r="A17" s="1"/>
      <c r="B17" s="43" t="s">
        <v>12</v>
      </c>
      <c r="C17" s="10">
        <f>'Fane 6. Ikke-påvirkelige omk.'!C14*(1+'Fane 12. Nøgletal'!C13)^3</f>
        <v>13010142.354154976</v>
      </c>
      <c r="D17" s="11" t="s">
        <v>3</v>
      </c>
      <c r="E17" s="1"/>
    </row>
    <row r="18" spans="1:5" ht="15" customHeight="1" x14ac:dyDescent="0.45">
      <c r="A18" s="1"/>
      <c r="B18" s="47" t="s">
        <v>99</v>
      </c>
      <c r="C18" s="48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7" t="s">
        <v>240</v>
      </c>
      <c r="C22" s="12">
        <f>SUM(C15,C17,C21)</f>
        <v>27322118.442942373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7" t="s">
        <v>167</v>
      </c>
      <c r="C8" s="48"/>
      <c r="D8" s="48"/>
      <c r="E8" s="48"/>
      <c r="F8" s="20"/>
      <c r="G8" s="1"/>
    </row>
    <row r="9" spans="1:7" x14ac:dyDescent="0.45">
      <c r="A9" s="1"/>
      <c r="B9" s="83" t="s">
        <v>23</v>
      </c>
      <c r="C9" s="84"/>
      <c r="D9" s="85"/>
      <c r="E9" s="7">
        <v>15033171.912441019</v>
      </c>
      <c r="F9" s="8" t="s">
        <v>3</v>
      </c>
      <c r="G9" s="1"/>
    </row>
    <row r="10" spans="1:7" ht="15" customHeight="1" x14ac:dyDescent="0.4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45">
      <c r="A11" s="1"/>
      <c r="B11" s="74" t="s">
        <v>46</v>
      </c>
      <c r="C11" s="75"/>
      <c r="D11" s="76"/>
      <c r="E11" s="9">
        <v>0</v>
      </c>
      <c r="F11" s="8" t="s">
        <v>3</v>
      </c>
      <c r="G11" s="1"/>
    </row>
    <row r="12" spans="1:7" x14ac:dyDescent="0.4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4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4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18</v>
      </c>
      <c r="C16" s="75"/>
      <c r="D16" s="76"/>
      <c r="E16" s="9">
        <f>E9*'Fane 12. Nøgletal'!C11+SUM(E10:E15)*'Fane 12. Nøgletal'!C12</f>
        <v>254060.60532025321</v>
      </c>
      <c r="F16" s="8" t="s">
        <v>3</v>
      </c>
      <c r="G16" s="1"/>
    </row>
    <row r="17" spans="1:7" x14ac:dyDescent="0.45">
      <c r="A17" s="1"/>
      <c r="B17" s="74" t="s">
        <v>9</v>
      </c>
      <c r="C17" s="75"/>
      <c r="D17" s="76"/>
      <c r="E17" s="9">
        <f>-SUM(E9:E16)*'Fane 5. Individuelt eff. krav'!G9</f>
        <v>0</v>
      </c>
      <c r="F17" s="8" t="s">
        <v>3</v>
      </c>
      <c r="G17" s="1"/>
    </row>
    <row r="18" spans="1:7" x14ac:dyDescent="0.45">
      <c r="A18" s="1"/>
      <c r="B18" s="74" t="s">
        <v>27</v>
      </c>
      <c r="C18" s="75"/>
      <c r="D18" s="76"/>
      <c r="E18" s="9">
        <f>-'Fane 4.1. Gen. krav - drift'!G25</f>
        <v>-123724.4683490492</v>
      </c>
      <c r="F18" s="8" t="s">
        <v>3</v>
      </c>
      <c r="G18" s="1"/>
    </row>
    <row r="19" spans="1:7" x14ac:dyDescent="0.45">
      <c r="A19" s="1"/>
      <c r="B19" s="74" t="s">
        <v>28</v>
      </c>
      <c r="C19" s="75"/>
      <c r="D19" s="76"/>
      <c r="E19" s="9">
        <f>-'Fane 4.2. Gen. krav - anlæg'!G25</f>
        <v>-81261.63798742072</v>
      </c>
      <c r="F19" s="8" t="s">
        <v>3</v>
      </c>
      <c r="G19" s="1"/>
    </row>
    <row r="20" spans="1:7" x14ac:dyDescent="0.45">
      <c r="A20" s="1"/>
      <c r="B20" s="89" t="s">
        <v>20</v>
      </c>
      <c r="C20" s="90"/>
      <c r="D20" s="91"/>
      <c r="E20" s="10">
        <f>SUM(E9:E19)</f>
        <v>15082246.411424803</v>
      </c>
      <c r="F20" s="11" t="s">
        <v>3</v>
      </c>
      <c r="G20" s="1"/>
    </row>
    <row r="21" spans="1:7" x14ac:dyDescent="0.45">
      <c r="A21" s="1"/>
      <c r="B21" s="77" t="s">
        <v>12</v>
      </c>
      <c r="C21" s="78"/>
      <c r="D21" s="78"/>
      <c r="E21" s="48"/>
      <c r="F21" s="20"/>
      <c r="G21" s="1"/>
    </row>
    <row r="22" spans="1:7" x14ac:dyDescent="0.45">
      <c r="A22" s="1"/>
      <c r="B22" s="79" t="s">
        <v>12</v>
      </c>
      <c r="C22" s="80"/>
      <c r="D22" s="81"/>
      <c r="E22" s="10">
        <v>11481900.535560511</v>
      </c>
      <c r="F22" s="11" t="s">
        <v>3</v>
      </c>
      <c r="G22" s="1"/>
    </row>
    <row r="23" spans="1:7" ht="15" customHeight="1" x14ac:dyDescent="0.45">
      <c r="A23" s="1"/>
      <c r="B23" s="77" t="s">
        <v>99</v>
      </c>
      <c r="C23" s="78"/>
      <c r="D23" s="78"/>
      <c r="E23" s="48"/>
      <c r="F23" s="48"/>
      <c r="G23" s="1"/>
    </row>
    <row r="24" spans="1:7" ht="14.25" customHeight="1" x14ac:dyDescent="0.4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4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4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45">
      <c r="A27" s="1"/>
      <c r="B27" s="47" t="s">
        <v>228</v>
      </c>
      <c r="C27" s="48"/>
      <c r="D27" s="48"/>
      <c r="E27" s="48"/>
      <c r="F27" s="48"/>
      <c r="G27" s="1"/>
    </row>
    <row r="28" spans="1:7" ht="13.15" customHeight="1" x14ac:dyDescent="0.45">
      <c r="A28" s="1"/>
      <c r="B28" s="92" t="s">
        <v>229</v>
      </c>
      <c r="C28" s="93"/>
      <c r="D28" s="94"/>
      <c r="E28" s="10">
        <v>-1554027</v>
      </c>
      <c r="F28" s="11" t="s">
        <v>3</v>
      </c>
      <c r="G28" s="1"/>
    </row>
    <row r="29" spans="1:7" x14ac:dyDescent="0.45">
      <c r="A29" s="1"/>
      <c r="B29" s="47" t="s">
        <v>230</v>
      </c>
      <c r="C29" s="48"/>
      <c r="D29" s="48"/>
      <c r="E29" s="48"/>
      <c r="F29" s="20"/>
      <c r="G29" s="1"/>
    </row>
    <row r="30" spans="1:7" ht="15" customHeight="1" x14ac:dyDescent="0.45">
      <c r="A30" s="1"/>
      <c r="B30" s="92" t="s">
        <v>231</v>
      </c>
      <c r="C30" s="93"/>
      <c r="D30" s="94"/>
      <c r="E30" s="10">
        <v>1044233.5215918431</v>
      </c>
      <c r="F30" s="11" t="s">
        <v>3</v>
      </c>
      <c r="G30" s="1"/>
    </row>
    <row r="31" spans="1:7" x14ac:dyDescent="0.45">
      <c r="A31" s="1"/>
      <c r="B31" s="47" t="s">
        <v>232</v>
      </c>
      <c r="C31" s="48"/>
      <c r="D31" s="48"/>
      <c r="E31" s="48"/>
      <c r="F31" s="20"/>
      <c r="G31" s="1"/>
    </row>
    <row r="32" spans="1:7" x14ac:dyDescent="0.45">
      <c r="A32" s="1"/>
      <c r="B32" s="79" t="s">
        <v>233</v>
      </c>
      <c r="C32" s="80"/>
      <c r="D32" s="81"/>
      <c r="E32" s="10">
        <v>0</v>
      </c>
      <c r="F32" s="11" t="s">
        <v>3</v>
      </c>
      <c r="G32" s="1"/>
    </row>
    <row r="33" spans="1:7" x14ac:dyDescent="0.45">
      <c r="A33" s="1"/>
      <c r="B33" s="47" t="s">
        <v>24</v>
      </c>
      <c r="C33" s="48"/>
      <c r="D33" s="48"/>
      <c r="E33" s="12">
        <f>SUM(E30,E26,E28,E22,E20,E32)</f>
        <v>26054353.468577154</v>
      </c>
      <c r="F33" s="13" t="s">
        <v>3</v>
      </c>
      <c r="G33" s="1"/>
    </row>
    <row r="34" spans="1:7" ht="28.15" customHeight="1" x14ac:dyDescent="0.45">
      <c r="A34" s="1"/>
      <c r="B34" s="86" t="s">
        <v>179</v>
      </c>
      <c r="C34" s="87"/>
      <c r="D34" s="87"/>
      <c r="E34" s="87"/>
      <c r="F34" s="8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6276392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125527.84</v>
      </c>
      <c r="H6" s="14" t="s">
        <v>3</v>
      </c>
      <c r="I6" s="1"/>
    </row>
    <row r="7" spans="1:9" x14ac:dyDescent="0.45">
      <c r="A7" s="1"/>
      <c r="B7" s="47"/>
      <c r="C7" s="48"/>
      <c r="D7" s="48"/>
      <c r="E7" s="48"/>
      <c r="F7" s="48"/>
      <c r="G7" s="48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6228980.1348319994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124579.60269663999</v>
      </c>
      <c r="H12" s="14" t="s">
        <v>3</v>
      </c>
      <c r="I12" s="1"/>
    </row>
    <row r="13" spans="1:9" x14ac:dyDescent="0.45">
      <c r="A13" s="1"/>
      <c r="B13" s="47"/>
      <c r="C13" s="48"/>
      <c r="D13" s="48"/>
      <c r="E13" s="48"/>
      <c r="F13" s="48"/>
      <c r="G13" s="48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6207564.9011284458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0.12488344300147113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124151.30052023778</v>
      </c>
      <c r="H19" s="14" t="s">
        <v>3</v>
      </c>
      <c r="I19" s="1"/>
    </row>
    <row r="20" spans="1:9" x14ac:dyDescent="0.45">
      <c r="A20" s="1"/>
      <c r="B20" s="47"/>
      <c r="C20" s="48"/>
      <c r="D20" s="48"/>
      <c r="E20" s="48"/>
      <c r="F20" s="48"/>
      <c r="G20" s="48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6186223.4174524602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123724.4683490492</v>
      </c>
      <c r="H25" s="14" t="s">
        <v>3</v>
      </c>
      <c r="I25" s="1"/>
    </row>
    <row r="26" spans="1:9" x14ac:dyDescent="0.45">
      <c r="A26" s="1"/>
      <c r="B26" s="47"/>
      <c r="C26" s="48"/>
      <c r="D26" s="48"/>
      <c r="E26" s="48"/>
      <c r="F26" s="48"/>
      <c r="G26" s="48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6136461.4362824727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122729.22872564946</v>
      </c>
      <c r="H31" s="14" t="s">
        <v>3</v>
      </c>
      <c r="I31" s="1"/>
    </row>
    <row r="32" spans="1:9" x14ac:dyDescent="0.45">
      <c r="A32" s="1"/>
      <c r="B32" s="47"/>
      <c r="C32" s="48"/>
      <c r="D32" s="48"/>
      <c r="E32" s="48"/>
      <c r="F32" s="48"/>
      <c r="G32" s="48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6087099.7404890163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121741.99480978033</v>
      </c>
      <c r="H37" s="14" t="s">
        <v>3</v>
      </c>
      <c r="I37" s="1"/>
    </row>
    <row r="38" spans="1:9" x14ac:dyDescent="0.45">
      <c r="A38" s="1"/>
      <c r="B38" s="47"/>
      <c r="C38" s="48"/>
      <c r="D38" s="48"/>
      <c r="E38" s="48"/>
      <c r="F38" s="48"/>
      <c r="G38" s="48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6038135.1101765223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120762.70220353045</v>
      </c>
      <c r="H43" s="14" t="s">
        <v>3</v>
      </c>
      <c r="I43" s="1"/>
    </row>
    <row r="44" spans="1:9" x14ac:dyDescent="0.45">
      <c r="A44" s="1"/>
      <c r="B44" s="47"/>
      <c r="C44" s="48"/>
      <c r="D44" s="48"/>
      <c r="E44" s="48"/>
      <c r="F44" s="48"/>
      <c r="G44" s="48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5989564.3513502618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119791.28702700524</v>
      </c>
      <c r="H49" s="14" t="s">
        <v>3</v>
      </c>
      <c r="I49" s="1"/>
    </row>
    <row r="50" spans="1:9" x14ac:dyDescent="0.45">
      <c r="A50" s="1"/>
      <c r="B50" s="47"/>
      <c r="C50" s="48"/>
      <c r="D50" s="48"/>
      <c r="E50" s="48"/>
      <c r="F50" s="48"/>
      <c r="G50" s="48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9221894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83919.235400000005</v>
      </c>
      <c r="H6" s="14" t="s">
        <v>3</v>
      </c>
      <c r="I6" s="1"/>
    </row>
    <row r="7" spans="1:9" x14ac:dyDescent="0.45">
      <c r="A7" s="1"/>
      <c r="B7" s="47"/>
      <c r="C7" s="48"/>
      <c r="D7" s="48"/>
      <c r="E7" s="48"/>
      <c r="F7" s="48"/>
      <c r="G7" s="48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9254027.0441104192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84211.646101404825</v>
      </c>
      <c r="H12" s="14" t="s">
        <v>3</v>
      </c>
      <c r="I12" s="1"/>
    </row>
    <row r="13" spans="1:9" x14ac:dyDescent="0.45">
      <c r="A13" s="1"/>
      <c r="B13" s="47"/>
      <c r="C13" s="48"/>
      <c r="D13" s="48"/>
      <c r="E13" s="48"/>
      <c r="F13" s="48"/>
      <c r="G13" s="48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9324785.2782353666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-58984.335777304375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80612.468199385126</v>
      </c>
      <c r="H19" s="14" t="s">
        <v>3</v>
      </c>
      <c r="I19" s="1"/>
    </row>
    <row r="20" spans="1:9" x14ac:dyDescent="0.45">
      <c r="A20" s="1"/>
      <c r="B20" s="47"/>
      <c r="C20" s="48"/>
      <c r="D20" s="48"/>
      <c r="E20" s="48"/>
      <c r="F20" s="48"/>
      <c r="G20" s="48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9340418.1594736464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81261.63798742072</v>
      </c>
      <c r="H25" s="14" t="s">
        <v>3</v>
      </c>
      <c r="I25" s="1"/>
    </row>
    <row r="26" spans="1:9" x14ac:dyDescent="0.45">
      <c r="A26" s="1"/>
      <c r="B26" s="47"/>
      <c r="C26" s="48"/>
      <c r="D26" s="48"/>
      <c r="E26" s="48"/>
      <c r="F26" s="48"/>
      <c r="G26" s="48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9372118.2310483586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257733.25135382987</v>
      </c>
      <c r="H31" s="14" t="s">
        <v>3</v>
      </c>
      <c r="I31" s="1"/>
    </row>
    <row r="32" spans="1:9" x14ac:dyDescent="0.45">
      <c r="A32" s="1"/>
      <c r="B32" s="47"/>
      <c r="C32" s="48"/>
      <c r="D32" s="48"/>
      <c r="E32" s="48"/>
      <c r="F32" s="48"/>
      <c r="G32" s="48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9225580.4764468018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253703.46310228706</v>
      </c>
      <c r="H37" s="14" t="s">
        <v>3</v>
      </c>
      <c r="I37" s="1"/>
    </row>
    <row r="38" spans="1:9" x14ac:dyDescent="0.45">
      <c r="A38" s="1"/>
      <c r="B38" s="47"/>
      <c r="C38" s="48"/>
      <c r="D38" s="48"/>
      <c r="E38" s="48"/>
      <c r="F38" s="48"/>
      <c r="G38" s="48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9081333.9129073173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249736.68260495123</v>
      </c>
      <c r="H43" s="14" t="s">
        <v>3</v>
      </c>
      <c r="I43" s="1"/>
    </row>
    <row r="44" spans="1:9" x14ac:dyDescent="0.45">
      <c r="A44" s="1"/>
      <c r="B44" s="47"/>
      <c r="C44" s="48"/>
      <c r="D44" s="48"/>
      <c r="E44" s="48"/>
      <c r="F44" s="48"/>
      <c r="G44" s="48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8939342.7165120542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245831.9247040815</v>
      </c>
      <c r="H49" s="14" t="s">
        <v>3</v>
      </c>
      <c r="I49" s="1"/>
    </row>
    <row r="50" spans="1:9" x14ac:dyDescent="0.45">
      <c r="A50" s="1"/>
      <c r="B50" s="47"/>
      <c r="C50" s="48"/>
      <c r="D50" s="48"/>
      <c r="E50" s="48"/>
      <c r="F50" s="48"/>
      <c r="G50" s="48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0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</v>
      </c>
      <c r="H10" s="14"/>
      <c r="I10" s="1"/>
    </row>
    <row r="11" spans="1:9" x14ac:dyDescent="0.45">
      <c r="A11" s="1"/>
      <c r="B11" s="47"/>
      <c r="C11" s="48"/>
      <c r="D11" s="48"/>
      <c r="E11" s="48"/>
      <c r="F11" s="48"/>
      <c r="G11" s="48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2020-10-20T06:06:12Z</dcterms:modified>
</cp:coreProperties>
</file>