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Rønne Vand AS (V160)\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4" i="19"/>
  <c r="C15"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<sst xmlns="http://schemas.openxmlformats.org/spreadsheetml/2006/main" count="509" uniqueCount="254">
  <si>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</si>
  <si>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</si>
  <si>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</si>
  <si>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</si>
  <si>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</si>
  <si>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</si>
  <si>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</si>
  <si>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</si>
  <si>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</si>
  <si>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</si>
  <si>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</si>
  <si>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</si>
  <si>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</si>
  <si>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</si>
  <si>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</si>
  <si>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</si>
  <si>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</si>
  <si>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</si>
  <si>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</si>
  <si>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</si>
  <si>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</si>
  <si>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</si>
  <si>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</si>
  <si>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</si>
  <si>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</si>
  <si>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</si>
  <si>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</si>
  <si>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</si>
  <si>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</si>
  <si>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</si>
  <si>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</si>
  <si>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</si>
  <si>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</si>
  <si>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</si>
  <si>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</si>
  <si>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</si>
  <si>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</si>
  <si>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</si>
  <si>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</si>
  <si>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</si>
  <si>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</si>
  <si>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</si>
  <si>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</si>
  <si>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</si>
  <si>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</si>
  <si>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</si>
  <si>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</si>
  <si>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</si>
  <si>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</si>
  <si>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</si>
  <si>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</si>
  <si>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</si>
  <si>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</si>
  <si>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</si>
  <si>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</si>
  <si>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</si>
  <si>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</si>
  <si>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</si>
  <si>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</si>
  <si>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</si>
  <si>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</si>
  <si>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</si>
  <si>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</si>
  <si>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</si>
  <si>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</si>
  <si>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</si>
  <si>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</si>
  <si>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</si>
  <si>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</si>
  <si>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</si>
  <si>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</si>
  <si>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</si>
  <si>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</si>
  <si>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</si>
  <si>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</si>
  <si>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</si>
  <si>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</si>
  <si>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</si>
  <si>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</si>
  <si>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</si>
  <si>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</si>
  <si>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</si>
  <si>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</si>
  <si>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</si>
  <si>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</si>
  <si>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</si>
  <si>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</si>
  <si>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</si>
  <si>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</si>
  <si>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</si>
  <si>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</si>
  <si>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</si>
  <si>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</si>
  <si>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</si>
  <si>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</si>
  <si>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</si>
  <si>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</si>
  <si>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</si>
  <si>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</si>
  <si>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</si>
  <si>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</si>
  <si>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</si>
  <si>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</si>
  <si>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</si>
  <si>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</si>
  <si>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</si>
  <si>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</si>
  <si>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</si>
  <si>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</si>
  <si>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</si>
  <si>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</si>
  <si>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</si>
  <si>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</si>
  <si>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</si>
  <si>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</si>
  <si>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</si>
  <si>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</si>
  <si>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</si>
  <si>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</si>
  <si>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</si>
  <si>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</si>
  <si>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</si>
  <si>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</si>
  <si>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</si>
  <si>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</si>
  <si>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</si>
  <si>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</si>
  <si>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</si>
  <si>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</si>
  <si>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</si>
  <si>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</si>
  <si>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</si>
  <si>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</si>
  <si>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</si>
  <si>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</si>
  <si>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</si>
  <si>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</si>
  <si>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</si>
  <si>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</si>
  <si>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</si>
  <si>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</si>
  <si>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</si>
  <si>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</si>
  <si>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</si>
  <si>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</si>
  <si>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</si>
  <si>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</si>
  <si>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</si>
  <si>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</si>
  <si>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</si>
  <si>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</si>
  <si>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</si>
  <si>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</si>
  <si>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</si>
  <si>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</si>
  <si>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</si>
  <si>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</si>
  <si>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</si>
  <si>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</si>
  <si>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</si>
  <si>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</si>
  <si>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</si>
  <si>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</si>
  <si>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</si>
  <si>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</si>
  <si>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</si>
  <si>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</si>
  <si>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</si>
  <si>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</si>
  <si>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</si>
  <si>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</si>
  <si>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</si>
  <si>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</si>
  <si>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</si>
  <si>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</si>
  <si>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</si>
  <si>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</si>
  <si>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</si>
  <si>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</si>
  <si>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</si>
  <si>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</si>
  <si>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</si>
  <si>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</si>
  <si>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</si>
  <si>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</si>
  <si>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</si>
  <si>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</si>
  <si>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</si>
  <si>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</si>
  <si>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</si>
  <si>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</si>
  <si>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</si>
  <si>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</si>
  <si>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</si>
  <si>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</si>
  <si>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</si>
  <si>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</si>
  <si>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</si>
  <si>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</si>
  <si>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</si>
  <si>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</si>
  <si>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</si>
  <si>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</si>
  <si>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</si>
  <si>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</si>
  <si>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</si>
  <si>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</si>
  <si>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</si>
  <si>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</si>
  <si>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</si>
  <si>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</si>
  <si>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</si>
  <si>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</si>
  <si>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</si>
  <si>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</si>
  <si>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</si>
  <si>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</si>
  <si>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</si>
  <si>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</si>
  <si>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</si>
  <si>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</si>
  <si>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</si>
  <si>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</si>
  <si>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</si>
  <si>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</si>
  <si>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</si>
  <si>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</si>
  <si>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</si>
  <si>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</si>
  <si>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</si>
  <si>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</si>
  <si>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</si>
  <si>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</si>
  <si>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</si>
  <si>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Tjenestemandspensioner</t>
  </si>
  <si>
    <t>Korrigeret over/underdækning i 2019</t>
  </si>
  <si>
    <t>Indregnet fradrag i den økonomiske ramme for 2023</t>
  </si>
  <si>
    <t>Indregnet fradrag i den økonomiske ramme for 2024</t>
  </si>
  <si>
    <t>Den økonomiske ramme for 2021</t>
  </si>
  <si>
    <t>Til indregning i de økonomiske rammer for 2023-2024</t>
  </si>
  <si>
    <t>Nye tillæg</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</si>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</sst>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94" t="s">
        <v>194</v>
      </c>
      <c r="E8" s="94"/>
      <c r="F8" s="94"/>
      <c r="G8" s="9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3" t="s">
        <v>5</v>
      </c>
      <c r="E11" s="93"/>
      <c r="F11" s="93"/>
      <c r="G11" s="93"/>
      <c r="H11" s="5"/>
      <c r="I11" s="1"/>
    </row>
    <row r="12" spans="1:9" x14ac:dyDescent="0.25">
      <c r="A12" s="1"/>
      <c r="B12" s="1"/>
      <c r="C12" s="1"/>
      <c r="D12" s="1"/>
      <c r="E12" s="1"/>
      <c r="F12" s="1"/>
      <c r="G12" s="1"/>
      <c r="H12" s="1"/>
      <c r="I12" s="1"/>
    </row>
    <row r="13" spans="1:9" x14ac:dyDescent="0.25">
      <c r="A13" s="1"/>
      <c r="B13" s="1"/>
      <c r="C13" s="6" t="s">
        <v>6</v>
      </c>
      <c r="D13" s="89" t="s">
        <v>161</v>
      </c>
      <c r="E13" s="90"/>
      <c r="F13" s="90"/>
      <c r="G13" s="91"/>
      <c r="H13" s="1"/>
      <c r="I13" s="1"/>
    </row>
    <row r="14" spans="1:9" x14ac:dyDescent="0.25">
      <c r="A14" s="1"/>
      <c r="B14" s="1"/>
      <c r="C14" s="6" t="s">
        <v>14</v>
      </c>
      <c r="D14" s="89" t="s">
        <v>204</v>
      </c>
      <c r="E14" s="90"/>
      <c r="F14" s="90"/>
      <c r="G14" s="91"/>
      <c r="H14" s="1"/>
      <c r="I14" s="1"/>
    </row>
    <row r="15" spans="1:9" x14ac:dyDescent="0.25">
      <c r="A15" s="1"/>
      <c r="B15" s="1"/>
      <c r="C15" s="6" t="s">
        <v>32</v>
      </c>
      <c r="D15" s="89" t="s">
        <v>137</v>
      </c>
      <c r="E15" s="90"/>
      <c r="F15" s="90"/>
      <c r="G15" s="91"/>
      <c r="H15" s="1"/>
      <c r="I15" s="1"/>
    </row>
    <row r="16" spans="1:9" x14ac:dyDescent="0.25">
      <c r="A16" s="1"/>
      <c r="B16" s="1"/>
      <c r="C16" s="6" t="s">
        <v>33</v>
      </c>
      <c r="D16" s="89" t="s">
        <v>162</v>
      </c>
      <c r="E16" s="90"/>
      <c r="F16" s="90"/>
      <c r="G16" s="91"/>
      <c r="H16" s="1"/>
      <c r="I16" s="1"/>
    </row>
    <row r="17" spans="1:9" x14ac:dyDescent="0.25">
      <c r="A17" s="1"/>
      <c r="B17" s="1"/>
      <c r="C17" s="6" t="s">
        <v>110</v>
      </c>
      <c r="D17" s="89" t="s">
        <v>163</v>
      </c>
      <c r="E17" s="90"/>
      <c r="F17" s="90"/>
      <c r="G17" s="91"/>
      <c r="H17" s="1"/>
      <c r="I17" s="1"/>
    </row>
    <row r="18" spans="1:9" x14ac:dyDescent="0.25">
      <c r="A18" s="1"/>
      <c r="B18" s="1"/>
      <c r="C18" s="6" t="s">
        <v>94</v>
      </c>
      <c r="D18" s="95" t="s">
        <v>86</v>
      </c>
      <c r="E18" s="96"/>
      <c r="F18" s="96"/>
      <c r="G18" s="97"/>
      <c r="H18" s="1"/>
      <c r="I18" s="1"/>
    </row>
    <row r="19" spans="1:9" x14ac:dyDescent="0.25">
      <c r="A19" s="1"/>
      <c r="B19" s="1"/>
      <c r="C19" s="6" t="s">
        <v>95</v>
      </c>
      <c r="D19" s="95" t="s">
        <v>87</v>
      </c>
      <c r="E19" s="96"/>
      <c r="F19" s="96"/>
      <c r="G19" s="97"/>
      <c r="H19" s="1"/>
      <c r="I19" s="1"/>
    </row>
    <row r="20" spans="1:9" x14ac:dyDescent="0.25">
      <c r="A20" s="1"/>
      <c r="B20" s="1"/>
      <c r="C20" s="6" t="s">
        <v>7</v>
      </c>
      <c r="D20" s="95" t="s">
        <v>9</v>
      </c>
      <c r="E20" s="96"/>
      <c r="F20" s="96"/>
      <c r="G20" s="97"/>
      <c r="H20" s="1"/>
      <c r="I20" s="1"/>
    </row>
    <row r="21" spans="1:9" x14ac:dyDescent="0.25">
      <c r="A21" s="1"/>
      <c r="B21" s="1"/>
      <c r="C21" s="6" t="s">
        <v>96</v>
      </c>
      <c r="D21" s="86" t="s">
        <v>11</v>
      </c>
      <c r="E21" s="87"/>
      <c r="F21" s="87"/>
      <c r="G21" s="88"/>
      <c r="H21" s="1"/>
      <c r="I21" s="1"/>
    </row>
    <row r="22" spans="1:9" x14ac:dyDescent="0.25">
      <c r="A22" s="1"/>
      <c r="B22" s="1"/>
      <c r="C22" s="6" t="s">
        <v>78</v>
      </c>
      <c r="D22" s="80" t="s">
        <v>164</v>
      </c>
      <c r="E22" s="81"/>
      <c r="F22" s="81"/>
      <c r="G22" s="82"/>
      <c r="H22" s="1"/>
      <c r="I22" s="1"/>
    </row>
    <row r="23" spans="1:9" x14ac:dyDescent="0.25">
      <c r="A23" s="1"/>
      <c r="B23" s="1"/>
      <c r="C23" s="6" t="s">
        <v>8</v>
      </c>
      <c r="D23" s="80" t="s">
        <v>219</v>
      </c>
      <c r="E23" s="81"/>
      <c r="F23" s="81"/>
      <c r="G23" s="82"/>
      <c r="H23" s="1"/>
      <c r="I23" s="1"/>
    </row>
    <row r="24" spans="1:9" x14ac:dyDescent="0.25">
      <c r="A24" s="1"/>
      <c r="B24" s="1"/>
      <c r="C24" s="6" t="s">
        <v>215</v>
      </c>
      <c r="D24" s="80" t="s">
        <v>205</v>
      </c>
      <c r="E24" s="81"/>
      <c r="F24" s="81"/>
      <c r="G24" s="82"/>
      <c r="H24" s="1"/>
      <c r="I24" s="1"/>
    </row>
    <row r="25" spans="1:9" x14ac:dyDescent="0.25">
      <c r="A25" s="1"/>
      <c r="B25" s="1"/>
      <c r="C25" s="6" t="s">
        <v>216</v>
      </c>
      <c r="D25" s="80" t="s">
        <v>79</v>
      </c>
      <c r="E25" s="81"/>
      <c r="F25" s="81"/>
      <c r="G25" s="82"/>
      <c r="H25" s="1"/>
      <c r="I25" s="1"/>
    </row>
    <row r="26" spans="1:9" x14ac:dyDescent="0.25">
      <c r="A26" s="1"/>
      <c r="B26" s="1"/>
      <c r="C26" s="6" t="s">
        <v>217</v>
      </c>
      <c r="D26" s="80" t="s">
        <v>80</v>
      </c>
      <c r="E26" s="81"/>
      <c r="F26" s="81"/>
      <c r="G26" s="82"/>
      <c r="H26" s="1"/>
      <c r="I26" s="1"/>
    </row>
    <row r="27" spans="1:9" x14ac:dyDescent="0.25">
      <c r="A27" s="1"/>
      <c r="B27" s="1"/>
      <c r="C27" s="6" t="s">
        <v>97</v>
      </c>
      <c r="D27" s="80" t="s">
        <v>111</v>
      </c>
      <c r="E27" s="81"/>
      <c r="F27" s="81"/>
      <c r="G27" s="82"/>
      <c r="H27" s="1"/>
      <c r="I27" s="1"/>
    </row>
    <row r="28" spans="1:9" x14ac:dyDescent="0.25">
      <c r="A28" s="1"/>
      <c r="B28" s="1"/>
      <c r="C28" s="6" t="s">
        <v>91</v>
      </c>
      <c r="D28" s="80" t="s">
        <v>34</v>
      </c>
      <c r="E28" s="81"/>
      <c r="F28" s="81"/>
      <c r="G28" s="82"/>
      <c r="H28" s="1"/>
      <c r="I28" s="1"/>
    </row>
    <row r="29" spans="1:9" x14ac:dyDescent="0.25">
      <c r="A29" s="1"/>
      <c r="B29" s="1"/>
      <c r="C29" s="6" t="s">
        <v>218</v>
      </c>
      <c r="D29" s="83" t="s">
        <v>92</v>
      </c>
      <c r="E29" s="84"/>
      <c r="F29" s="84"/>
      <c r="G29" s="8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Yqei7sSG3U7n1xdCRdC0nda2AVMe4ZNnnyc2CwIK3mPHC0sWBakAtrzlfxAW2n3dpwVOiGEU4K2iwkSqruzm+w==" saltValue="/MNBFXZMNJ6AUZxB6zub0w=="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100</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1" t="s">
        <v>181</v>
      </c>
      <c r="C8" s="122"/>
      <c r="D8" s="123"/>
      <c r="E8" s="1"/>
      <c r="F8" s="1"/>
    </row>
    <row r="9" spans="1:6" ht="15" customHeight="1" x14ac:dyDescent="0.25">
      <c r="A9" s="1"/>
      <c r="B9" s="32" t="s">
        <v>30</v>
      </c>
      <c r="C9" s="11" t="s">
        <v>212</v>
      </c>
      <c r="D9" s="11"/>
      <c r="E9" s="1"/>
      <c r="F9" s="1"/>
    </row>
    <row r="10" spans="1:6" x14ac:dyDescent="0.25">
      <c r="A10" s="1"/>
      <c r="B10" s="75" t="s">
        <v>231</v>
      </c>
      <c r="C10" s="9">
        <v>5609616</v>
      </c>
      <c r="D10" s="14" t="s">
        <v>3</v>
      </c>
      <c r="E10" s="1"/>
      <c r="F10" s="1"/>
    </row>
    <row r="11" spans="1:6" x14ac:dyDescent="0.25">
      <c r="A11" s="1"/>
      <c r="B11" s="75" t="s">
        <v>232</v>
      </c>
      <c r="C11" s="9">
        <v>74236</v>
      </c>
      <c r="D11" s="14" t="s">
        <v>3</v>
      </c>
      <c r="E11" s="1"/>
      <c r="F11" s="1"/>
    </row>
    <row r="12" spans="1:6" x14ac:dyDescent="0.25">
      <c r="A12" s="1"/>
      <c r="B12" s="75" t="s">
        <v>233</v>
      </c>
      <c r="C12" s="9">
        <v>13358</v>
      </c>
      <c r="D12" s="14" t="s">
        <v>3</v>
      </c>
      <c r="E12" s="1"/>
      <c r="F12" s="1"/>
    </row>
    <row r="13" spans="1:6" x14ac:dyDescent="0.25">
      <c r="A13" s="1"/>
      <c r="B13" s="75" t="s">
        <v>234</v>
      </c>
      <c r="C13" s="9">
        <v>295347</v>
      </c>
      <c r="D13" s="14" t="s">
        <v>3</v>
      </c>
      <c r="E13" s="1"/>
      <c r="F13" s="1"/>
    </row>
    <row r="14" spans="1:6" x14ac:dyDescent="0.25">
      <c r="A14" s="1"/>
      <c r="B14" s="67" t="s">
        <v>182</v>
      </c>
      <c r="C14" s="12">
        <f>SUM(C10:C13)</f>
        <v>5992557</v>
      </c>
      <c r="D14" s="13" t="s">
        <v>3</v>
      </c>
      <c r="E14" s="1"/>
      <c r="F14" s="1"/>
    </row>
    <row r="15" spans="1:6" x14ac:dyDescent="0.25">
      <c r="A15" s="1"/>
      <c r="B15" s="67" t="s">
        <v>183</v>
      </c>
      <c r="C15" s="12">
        <f>C14*(1+'Fane 13. Nøgletal'!C15)^2</f>
        <v>6426821.7854395201</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PCxFY3Ku5nXXvrekW2U3H06R0pFLAV6SESsH7Y68l0Erydy8NlwwF5SpbwsEz2vmHFak/HtBoyb2KZJ4DRLMUw==" saltValue="P9pfaqOc5qQZmn8MSqhLT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6" t="s">
        <v>184</v>
      </c>
      <c r="C3" s="106"/>
      <c r="D3" s="106"/>
      <c r="E3" s="106"/>
      <c r="F3" s="106"/>
      <c r="G3" s="1"/>
    </row>
    <row r="4" spans="1:7" ht="15" customHeight="1" x14ac:dyDescent="0.25">
      <c r="A4" s="1"/>
      <c r="B4" s="106"/>
      <c r="C4" s="106"/>
      <c r="D4" s="106"/>
      <c r="E4" s="106"/>
      <c r="F4" s="106"/>
      <c r="G4" s="1"/>
    </row>
    <row r="5" spans="1:7" ht="15" customHeight="1" x14ac:dyDescent="0.25">
      <c r="A5" s="1"/>
      <c r="B5" s="63"/>
      <c r="C5" s="63"/>
      <c r="D5" s="63"/>
      <c r="E5" s="63"/>
      <c r="F5" s="63"/>
      <c r="G5" s="1"/>
    </row>
    <row r="6" spans="1:7" ht="15" customHeight="1" x14ac:dyDescent="0.25">
      <c r="A6" s="1"/>
      <c r="B6" s="63"/>
      <c r="C6" s="63"/>
      <c r="D6" s="63"/>
      <c r="E6" s="63"/>
      <c r="F6" s="63"/>
      <c r="G6" s="1"/>
    </row>
    <row r="7" spans="1:7" x14ac:dyDescent="0.25">
      <c r="A7" s="1"/>
      <c r="B7" s="1"/>
      <c r="C7" s="1"/>
      <c r="D7" s="1"/>
      <c r="E7" s="1"/>
      <c r="F7" s="1"/>
      <c r="G7" s="1"/>
    </row>
    <row r="8" spans="1:7" x14ac:dyDescent="0.25">
      <c r="A8" s="1"/>
      <c r="B8" s="121" t="s">
        <v>155</v>
      </c>
      <c r="C8" s="122"/>
      <c r="D8" s="122"/>
      <c r="E8" s="122"/>
      <c r="F8" s="123"/>
      <c r="G8" s="1"/>
    </row>
    <row r="9" spans="1:7" x14ac:dyDescent="0.25">
      <c r="A9" s="1"/>
      <c r="B9" s="124" t="s">
        <v>156</v>
      </c>
      <c r="C9" s="125"/>
      <c r="D9" s="126"/>
      <c r="E9" s="9">
        <v>1112064</v>
      </c>
      <c r="F9" s="14" t="s">
        <v>3</v>
      </c>
      <c r="G9" s="1"/>
    </row>
    <row r="10" spans="1:7" x14ac:dyDescent="0.25">
      <c r="A10" s="1"/>
      <c r="B10" s="139" t="s">
        <v>235</v>
      </c>
      <c r="C10" s="140"/>
      <c r="D10" s="141"/>
      <c r="E10" s="9">
        <v>1112064</v>
      </c>
      <c r="F10" s="50" t="s">
        <v>3</v>
      </c>
      <c r="G10" s="1"/>
    </row>
    <row r="11" spans="1:7" x14ac:dyDescent="0.25">
      <c r="A11" s="1"/>
      <c r="B11" s="124" t="s">
        <v>185</v>
      </c>
      <c r="C11" s="125"/>
      <c r="D11" s="126"/>
      <c r="E11" s="9">
        <v>3106584.742631672</v>
      </c>
      <c r="F11" s="14" t="s">
        <v>3</v>
      </c>
      <c r="G11" s="1"/>
    </row>
    <row r="12" spans="1:7" x14ac:dyDescent="0.25">
      <c r="A12" s="1"/>
      <c r="B12" s="67"/>
      <c r="C12" s="68"/>
      <c r="D12" s="68"/>
      <c r="E12" s="68"/>
      <c r="F12" s="19"/>
      <c r="G12" s="1"/>
    </row>
    <row r="13" spans="1:7" ht="64.900000000000006" customHeight="1" x14ac:dyDescent="0.25">
      <c r="A13" s="1"/>
      <c r="B13" s="110" t="s">
        <v>252</v>
      </c>
      <c r="C13" s="111"/>
      <c r="D13" s="111"/>
      <c r="E13" s="111"/>
      <c r="F13" s="112"/>
      <c r="G13" s="1"/>
    </row>
    <row r="14" spans="1:7" ht="27" customHeight="1" x14ac:dyDescent="0.25">
      <c r="A14" s="1"/>
      <c r="B14" s="1"/>
      <c r="C14" s="1"/>
      <c r="D14" s="1"/>
      <c r="E14" s="1"/>
      <c r="F14" s="1"/>
      <c r="G14" s="1"/>
    </row>
    <row r="15" spans="1:7" ht="28.5" customHeight="1" x14ac:dyDescent="0.25">
      <c r="A15" s="1"/>
      <c r="B15" s="121" t="s">
        <v>157</v>
      </c>
      <c r="C15" s="122"/>
      <c r="D15" s="122"/>
      <c r="E15" s="122"/>
      <c r="F15" s="123"/>
      <c r="G15" s="1"/>
    </row>
    <row r="16" spans="1:7" x14ac:dyDescent="0.25">
      <c r="A16" s="1"/>
      <c r="B16" s="124" t="s">
        <v>236</v>
      </c>
      <c r="C16" s="125"/>
      <c r="D16" s="126"/>
      <c r="E16" s="9">
        <v>0</v>
      </c>
      <c r="F16" s="14" t="s">
        <v>3</v>
      </c>
      <c r="G16" s="1"/>
    </row>
    <row r="17" spans="1:7" x14ac:dyDescent="0.25">
      <c r="A17" s="1"/>
      <c r="B17" s="124" t="s">
        <v>237</v>
      </c>
      <c r="C17" s="125"/>
      <c r="D17" s="126"/>
      <c r="E17" s="9">
        <v>0</v>
      </c>
      <c r="F17" s="14" t="s">
        <v>3</v>
      </c>
      <c r="G17" s="1"/>
    </row>
    <row r="18" spans="1:7" x14ac:dyDescent="0.25">
      <c r="A18" s="1"/>
      <c r="B18" s="67"/>
      <c r="C18" s="68"/>
      <c r="D18" s="68"/>
      <c r="E18" s="68"/>
      <c r="F18" s="19"/>
      <c r="G18" s="1"/>
    </row>
    <row r="19" spans="1:7" ht="31.5" customHeight="1" x14ac:dyDescent="0.25">
      <c r="A19" s="1"/>
      <c r="B19" s="110" t="s">
        <v>158</v>
      </c>
      <c r="C19" s="111"/>
      <c r="D19" s="111"/>
      <c r="E19" s="111"/>
      <c r="F19" s="112"/>
      <c r="G19" s="1"/>
    </row>
    <row r="20" spans="1:7" ht="28.5" customHeight="1" x14ac:dyDescent="0.25">
      <c r="A20" s="1"/>
      <c r="B20" s="1"/>
      <c r="C20" s="1"/>
      <c r="D20" s="1"/>
      <c r="E20" s="1"/>
      <c r="F20" s="1"/>
      <c r="G20" s="1"/>
    </row>
    <row r="21" spans="1:7" ht="28.5" customHeight="1" x14ac:dyDescent="0.25">
      <c r="A21" s="1"/>
      <c r="B21" s="69" t="s">
        <v>186</v>
      </c>
      <c r="C21" s="70"/>
      <c r="D21" s="70"/>
      <c r="E21" s="70"/>
      <c r="F21" s="71"/>
      <c r="G21" s="1"/>
    </row>
    <row r="22" spans="1:7" x14ac:dyDescent="0.25">
      <c r="A22" s="1"/>
      <c r="B22" s="72" t="s">
        <v>238</v>
      </c>
      <c r="C22" s="73"/>
      <c r="D22" s="74"/>
      <c r="E22" s="9">
        <v>17084030.888261236</v>
      </c>
      <c r="F22" s="14" t="s">
        <v>3</v>
      </c>
      <c r="G22" s="1"/>
    </row>
    <row r="23" spans="1:7" x14ac:dyDescent="0.25">
      <c r="A23" s="1"/>
      <c r="B23" s="72" t="s">
        <v>187</v>
      </c>
      <c r="C23" s="73"/>
      <c r="D23" s="74"/>
      <c r="E23" s="9">
        <v>15719514</v>
      </c>
      <c r="F23" s="14" t="s">
        <v>3</v>
      </c>
      <c r="G23" s="1"/>
    </row>
    <row r="24" spans="1:7" x14ac:dyDescent="0.25">
      <c r="A24" s="1"/>
      <c r="B24" s="72" t="s">
        <v>31</v>
      </c>
      <c r="C24" s="73"/>
      <c r="D24" s="74"/>
      <c r="E24" s="9">
        <v>0</v>
      </c>
      <c r="F24" s="14" t="s">
        <v>3</v>
      </c>
      <c r="G24" s="1"/>
    </row>
    <row r="25" spans="1:7" x14ac:dyDescent="0.25">
      <c r="A25" s="1"/>
      <c r="B25" s="47" t="s">
        <v>253</v>
      </c>
      <c r="C25" s="48"/>
      <c r="D25" s="49"/>
      <c r="E25" s="53">
        <f>E22-(E23-E24)</f>
        <v>1364516.8882612363</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1" t="s">
        <v>239</v>
      </c>
      <c r="C28" s="122"/>
      <c r="D28" s="122"/>
      <c r="E28" s="122"/>
      <c r="F28" s="123"/>
      <c r="G28" s="1"/>
    </row>
    <row r="29" spans="1:7" x14ac:dyDescent="0.25">
      <c r="A29" s="1"/>
      <c r="B29" s="142" t="s">
        <v>128</v>
      </c>
      <c r="C29" s="143"/>
      <c r="D29" s="144"/>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42" t="s">
        <v>93</v>
      </c>
      <c r="C30" s="143"/>
      <c r="D30" s="144"/>
      <c r="E30" s="9">
        <v>2</v>
      </c>
      <c r="F30" s="14" t="s">
        <v>18</v>
      </c>
      <c r="G30" s="1"/>
    </row>
    <row r="31" spans="1:7" x14ac:dyDescent="0.25">
      <c r="A31" s="1"/>
      <c r="B31" s="135" t="s">
        <v>127</v>
      </c>
      <c r="C31" s="135"/>
      <c r="D31" s="135"/>
      <c r="E31" s="10">
        <f>E29/E30</f>
        <v>0</v>
      </c>
      <c r="F31" s="17" t="s">
        <v>3</v>
      </c>
      <c r="G31" s="1"/>
    </row>
    <row r="32" spans="1:7" x14ac:dyDescent="0.25">
      <c r="A32" s="1"/>
      <c r="B32" s="136"/>
      <c r="C32" s="137"/>
      <c r="D32" s="137"/>
      <c r="E32" s="137"/>
      <c r="F32" s="13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1"/>
      <c r="C38" s="51"/>
      <c r="D38" s="51"/>
      <c r="E38" s="51"/>
      <c r="F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sheetData>
  <sheetProtection algorithmName="SHA-512" hashValue="jNvwvqXmDTBrE6Z/ZFYU3KxQFHSONN80nFXGOMWpwvvi6bRQaDZpt5YZeO8OXsDTXuTddoyDU44X7gDogCht2Q==" saltValue="SJs9DNlZSpWgCKz4TU6g8g=="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6" customWidth="1"/>
    <col min="2" max="2" width="22.5703125" style="36" customWidth="1"/>
    <col min="3" max="3" width="8.28515625" style="36" customWidth="1"/>
    <col min="4" max="6" width="10.7109375" style="36" customWidth="1"/>
    <col min="7" max="7" width="11" style="36" customWidth="1"/>
    <col min="8" max="8" width="3.28515625" style="36" customWidth="1"/>
    <col min="9" max="9" width="4.85546875" style="36" customWidth="1"/>
    <col min="10" max="16384" width="9" style="3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226</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1" t="s">
        <v>227</v>
      </c>
      <c r="C8" s="122"/>
      <c r="D8" s="122"/>
      <c r="E8" s="122"/>
      <c r="F8" s="122"/>
      <c r="G8" s="122"/>
      <c r="H8" s="123"/>
      <c r="I8" s="1"/>
    </row>
    <row r="9" spans="1:9" ht="15" customHeight="1" x14ac:dyDescent="0.25">
      <c r="A9" s="1"/>
      <c r="B9" s="116" t="s">
        <v>228</v>
      </c>
      <c r="C9" s="117"/>
      <c r="D9" s="117"/>
      <c r="E9" s="117"/>
      <c r="F9" s="117"/>
      <c r="G9" s="117"/>
      <c r="H9" s="118"/>
      <c r="I9" s="1"/>
    </row>
    <row r="10" spans="1:9" x14ac:dyDescent="0.25">
      <c r="A10" s="1"/>
      <c r="B10" s="145" t="s">
        <v>244</v>
      </c>
      <c r="C10" s="146"/>
      <c r="D10" s="146"/>
      <c r="E10" s="146"/>
      <c r="F10" s="147"/>
      <c r="G10" s="52">
        <v>0</v>
      </c>
      <c r="H10" s="9" t="s">
        <v>3</v>
      </c>
      <c r="I10" s="1"/>
    </row>
    <row r="11" spans="1:9" x14ac:dyDescent="0.25">
      <c r="A11" s="1"/>
      <c r="B11" s="145" t="s">
        <v>245</v>
      </c>
      <c r="C11" s="146"/>
      <c r="D11" s="146"/>
      <c r="E11" s="146"/>
      <c r="F11" s="147"/>
      <c r="G11" s="52">
        <v>0</v>
      </c>
      <c r="H11" s="9" t="s">
        <v>3</v>
      </c>
      <c r="I11" s="1"/>
    </row>
    <row r="12" spans="1:9" x14ac:dyDescent="0.25">
      <c r="A12" s="1"/>
      <c r="B12" s="145" t="s">
        <v>246</v>
      </c>
      <c r="C12" s="146"/>
      <c r="D12" s="146"/>
      <c r="E12" s="146"/>
      <c r="F12" s="147"/>
      <c r="G12" s="9">
        <v>0</v>
      </c>
      <c r="H12" s="9" t="s">
        <v>3</v>
      </c>
      <c r="I12" s="1"/>
    </row>
    <row r="13" spans="1:9" x14ac:dyDescent="0.25">
      <c r="A13" s="1"/>
      <c r="B13" s="145" t="s">
        <v>247</v>
      </c>
      <c r="C13" s="146"/>
      <c r="D13" s="146"/>
      <c r="E13" s="146"/>
      <c r="F13" s="147"/>
      <c r="G13" s="9">
        <v>0</v>
      </c>
      <c r="H13" s="9" t="s">
        <v>3</v>
      </c>
      <c r="I13" s="1"/>
    </row>
    <row r="14" spans="1:9" x14ac:dyDescent="0.25">
      <c r="A14" s="1"/>
      <c r="B14" s="145" t="s">
        <v>248</v>
      </c>
      <c r="C14" s="146"/>
      <c r="D14" s="146"/>
      <c r="E14" s="146"/>
      <c r="F14" s="147"/>
      <c r="G14" s="9">
        <v>0</v>
      </c>
      <c r="H14" s="9" t="s">
        <v>3</v>
      </c>
      <c r="I14" s="1"/>
    </row>
    <row r="15" spans="1:9" x14ac:dyDescent="0.25">
      <c r="A15" s="1"/>
      <c r="B15" s="145" t="s">
        <v>249</v>
      </c>
      <c r="C15" s="146"/>
      <c r="D15" s="146"/>
      <c r="E15" s="146"/>
      <c r="F15" s="147"/>
      <c r="G15" s="9">
        <v>0</v>
      </c>
      <c r="H15" s="9" t="s">
        <v>3</v>
      </c>
      <c r="I15" s="1"/>
    </row>
    <row r="16" spans="1:9" x14ac:dyDescent="0.25">
      <c r="A16" s="1"/>
      <c r="B16" s="145" t="s">
        <v>250</v>
      </c>
      <c r="C16" s="146"/>
      <c r="D16" s="146"/>
      <c r="E16" s="146"/>
      <c r="F16" s="147"/>
      <c r="G16" s="9">
        <v>0</v>
      </c>
      <c r="H16" s="9" t="s">
        <v>3</v>
      </c>
      <c r="I16" s="1"/>
    </row>
    <row r="17" spans="1:9" x14ac:dyDescent="0.25">
      <c r="A17" s="1"/>
      <c r="B17" s="145" t="s">
        <v>251</v>
      </c>
      <c r="C17" s="146"/>
      <c r="D17" s="146"/>
      <c r="E17" s="146"/>
      <c r="F17" s="147"/>
      <c r="G17" s="9">
        <v>0</v>
      </c>
      <c r="H17" s="9" t="s">
        <v>3</v>
      </c>
      <c r="I17" s="1"/>
    </row>
    <row r="18" spans="1:9" x14ac:dyDescent="0.25">
      <c r="A18" s="1"/>
      <c r="B18" s="121" t="s">
        <v>229</v>
      </c>
      <c r="C18" s="122"/>
      <c r="D18" s="122"/>
      <c r="E18" s="122"/>
      <c r="F18" s="12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zNF1K85YqcOMCL+yeW/4GvGtL1hlkJDzmMg5lQrA0jnyJNb4LHtEk+92intthDPYx6blB0eMbTdLuTsl8XqBQg==" saltValue="fS5e57dogSlb8Fax4EvHn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4.140625" style="2" customWidth="1"/>
    <col min="3" max="3" width="7.28515625" style="2" customWidth="1"/>
    <col min="4" max="4" width="8.85546875" style="2" customWidth="1"/>
    <col min="5" max="5" width="2.7109375" style="2" customWidth="1"/>
    <col min="6" max="6" width="8.85546875" style="2" customWidth="1"/>
    <col min="7" max="7" width="2.7109375" style="2" customWidth="1"/>
    <col min="8" max="8" width="8.85546875" style="2" customWidth="1"/>
    <col min="9" max="9" width="2.7109375" style="2" customWidth="1"/>
    <col min="10" max="10" width="8.8554687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220</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1" t="s">
        <v>192</v>
      </c>
      <c r="C8" s="122"/>
      <c r="D8" s="122"/>
      <c r="E8" s="122"/>
      <c r="F8" s="122"/>
      <c r="G8" s="122"/>
      <c r="H8" s="122"/>
      <c r="I8" s="122"/>
      <c r="J8" s="122"/>
      <c r="K8" s="123"/>
      <c r="L8" s="1"/>
    </row>
    <row r="9" spans="1:12" ht="39.75" customHeight="1" x14ac:dyDescent="0.25">
      <c r="A9" s="1"/>
      <c r="B9" s="18" t="s">
        <v>0</v>
      </c>
      <c r="C9" s="18" t="s">
        <v>1</v>
      </c>
      <c r="D9" s="148" t="s">
        <v>213</v>
      </c>
      <c r="E9" s="149"/>
      <c r="F9" s="148" t="s">
        <v>2</v>
      </c>
      <c r="G9" s="149"/>
      <c r="H9" s="148" t="s">
        <v>214</v>
      </c>
      <c r="I9" s="149"/>
      <c r="J9" s="148" t="s">
        <v>28</v>
      </c>
      <c r="K9" s="149"/>
      <c r="L9" s="1"/>
    </row>
    <row r="10" spans="1:12" x14ac:dyDescent="0.25">
      <c r="A10" s="1"/>
      <c r="B10" s="77" t="s">
        <v>230</v>
      </c>
      <c r="C10" s="29">
        <v>0</v>
      </c>
      <c r="D10" s="9">
        <v>0</v>
      </c>
      <c r="E10" s="14" t="s">
        <v>3</v>
      </c>
      <c r="F10" s="35">
        <f>IFERROR(D10/C10,0)</f>
        <v>0</v>
      </c>
      <c r="G10" s="14" t="s">
        <v>3</v>
      </c>
      <c r="H10" s="9">
        <v>0</v>
      </c>
      <c r="I10" s="14" t="s">
        <v>3</v>
      </c>
      <c r="J10" s="9">
        <v>0</v>
      </c>
      <c r="K10" s="14" t="s">
        <v>3</v>
      </c>
      <c r="L10" s="1"/>
    </row>
    <row r="11" spans="1:12" x14ac:dyDescent="0.25">
      <c r="A11" s="1"/>
      <c r="B11" s="67" t="s">
        <v>193</v>
      </c>
      <c r="C11" s="68"/>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APedJaqz5noRmcghi6aRIfaCGKC8SPtyev20YEQSKH/TX/Sflp3eNbKEVXW5eV/I4ILYMN94rlnBdZTY9ZpFsQ==" saltValue="q67YWP5cYIe6IZoiadrMf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221</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62"/>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240</v>
      </c>
      <c r="C11" s="21">
        <v>0</v>
      </c>
      <c r="D11" s="14" t="s">
        <v>3</v>
      </c>
      <c r="E11" s="9">
        <v>0</v>
      </c>
      <c r="F11" s="14" t="s">
        <v>3</v>
      </c>
      <c r="G11" s="1"/>
    </row>
    <row r="12" spans="1:7" x14ac:dyDescent="0.25">
      <c r="A12" s="1"/>
      <c r="B12" s="67" t="s">
        <v>148</v>
      </c>
      <c r="C12" s="12">
        <f>SUM(C10:C11)</f>
        <v>0</v>
      </c>
      <c r="D12" s="13" t="s">
        <v>3</v>
      </c>
      <c r="E12" s="12">
        <f>SUM(E10:E11)</f>
        <v>0</v>
      </c>
      <c r="F12" s="13" t="s">
        <v>3</v>
      </c>
      <c r="G12" s="1"/>
    </row>
    <row r="13" spans="1:7" x14ac:dyDescent="0.25">
      <c r="A13" s="1"/>
      <c r="B13" s="67" t="s">
        <v>188</v>
      </c>
      <c r="C13" s="12">
        <f>C12*(1+'Fane 13. Nøgletal'!C15)</f>
        <v>0</v>
      </c>
      <c r="D13" s="13" t="s">
        <v>3</v>
      </c>
      <c r="E13" s="12">
        <f>E12*(1+'Fane 13. Nøgletal'!C15)</f>
        <v>0</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3mkC+N3Py/r1N/+qSMgxCxvlfYj2h7PJ99kZmr2/+7Z6XEZYx8JCo7ALIQxhNf7jDvFS4dHDB2bbiAW+DV5Vw==" saltValue="J33vUTPjbcdUfK35UxipY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222</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1" t="s">
        <v>88</v>
      </c>
      <c r="C9" s="122"/>
      <c r="D9" s="122"/>
      <c r="E9" s="122"/>
      <c r="F9" s="123"/>
      <c r="G9" s="1"/>
    </row>
    <row r="10" spans="1:7" ht="26.25" x14ac:dyDescent="0.25">
      <c r="A10" s="1"/>
      <c r="B10" s="65" t="s">
        <v>15</v>
      </c>
      <c r="C10" s="65" t="s">
        <v>10</v>
      </c>
      <c r="D10" s="66"/>
      <c r="E10" s="65" t="s">
        <v>29</v>
      </c>
      <c r="F10" s="62"/>
      <c r="G10" s="1"/>
    </row>
    <row r="11" spans="1:7" x14ac:dyDescent="0.25">
      <c r="A11" s="1"/>
      <c r="B11" s="22" t="s">
        <v>241</v>
      </c>
      <c r="C11" s="21">
        <v>0</v>
      </c>
      <c r="D11" s="14" t="s">
        <v>3</v>
      </c>
      <c r="E11" s="9">
        <v>0</v>
      </c>
      <c r="F11" s="14" t="s">
        <v>3</v>
      </c>
      <c r="G11" s="1"/>
    </row>
    <row r="12" spans="1:7" x14ac:dyDescent="0.25">
      <c r="A12" s="1"/>
      <c r="B12" s="67" t="s">
        <v>195</v>
      </c>
      <c r="C12" s="12">
        <f>SUM(C11:C11)</f>
        <v>0</v>
      </c>
      <c r="D12" s="13" t="s">
        <v>3</v>
      </c>
      <c r="E12" s="12">
        <f>SUM(E11:E11)</f>
        <v>0</v>
      </c>
      <c r="F12" s="13" t="s">
        <v>3</v>
      </c>
      <c r="G12" s="1"/>
    </row>
    <row r="13" spans="1:7" x14ac:dyDescent="0.25">
      <c r="A13" s="1"/>
      <c r="B13" s="67"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ykuZ/4BLEEVfnoFNfd6rcQw3vva4nQhxoeM3wIg+Fm53pV3aKZjEcd24FL9tr+Hdw4yEJsIlFKli47DSx720dQ==" saltValue="w3U35SsMj3LCx+e+Hu8Yi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223</v>
      </c>
      <c r="C3" s="106"/>
      <c r="D3" s="106"/>
      <c r="E3" s="106"/>
      <c r="F3" s="106"/>
      <c r="G3" s="1"/>
    </row>
    <row r="4" spans="1:7" ht="25.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1" t="s">
        <v>112</v>
      </c>
      <c r="C8" s="122"/>
      <c r="D8" s="122"/>
      <c r="E8" s="122"/>
      <c r="F8" s="123"/>
      <c r="G8" s="1"/>
    </row>
    <row r="9" spans="1:7" ht="15" customHeight="1" x14ac:dyDescent="0.25">
      <c r="A9" s="1"/>
      <c r="B9" s="61" t="s">
        <v>113</v>
      </c>
      <c r="C9" s="116" t="s">
        <v>10</v>
      </c>
      <c r="D9" s="118"/>
      <c r="E9" s="116" t="s">
        <v>29</v>
      </c>
      <c r="F9" s="118"/>
      <c r="G9" s="1"/>
    </row>
    <row r="10" spans="1:7" x14ac:dyDescent="0.25">
      <c r="A10" s="1"/>
      <c r="B10" s="22" t="s">
        <v>242</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LG9a8V5/J2dIp75cUIlTvAXo3UVfulQUtAOijeN3F3TqmIBwSI4xq9qvB/+6OEdcFxrH0z14oEOPh/wknslEXg==" saltValue="sXE6KsRguN0b4MpzjWGA8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224</v>
      </c>
      <c r="C3" s="106"/>
      <c r="D3" s="106"/>
      <c r="E3" s="106"/>
      <c r="F3" s="106"/>
      <c r="G3" s="1"/>
    </row>
    <row r="4" spans="1:7" ht="25.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1" t="s">
        <v>85</v>
      </c>
      <c r="C10" s="122"/>
      <c r="D10" s="122"/>
      <c r="E10" s="122"/>
      <c r="F10" s="123"/>
      <c r="G10" s="1"/>
    </row>
    <row r="11" spans="1:7" ht="26.25" x14ac:dyDescent="0.25">
      <c r="A11" s="1"/>
      <c r="B11" s="61" t="s">
        <v>16</v>
      </c>
      <c r="C11" s="61" t="s">
        <v>10</v>
      </c>
      <c r="D11" s="62"/>
      <c r="E11" s="61" t="s">
        <v>29</v>
      </c>
      <c r="F11" s="62"/>
      <c r="G11" s="1"/>
    </row>
    <row r="12" spans="1:7" x14ac:dyDescent="0.25">
      <c r="A12" s="1"/>
      <c r="B12" s="22" t="s">
        <v>243</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Ac1nrvt8JLksRkwfzywCfjA3csVFdCYR1oI8/BnJZYHRB6ix7OwK63dCqOho2zL0ynZW9dhdo2gY96p9mgTvGQ==" saltValue="NAjqThnf4WXCKiHrAmS4o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5" customWidth="1"/>
    <col min="4" max="4" width="9" style="2" customWidth="1"/>
    <col min="5" max="16384" width="9" style="2"/>
  </cols>
  <sheetData>
    <row r="1" spans="1:4" x14ac:dyDescent="0.25">
      <c r="A1" s="1"/>
      <c r="B1" s="1"/>
      <c r="C1" s="40"/>
      <c r="D1" s="1"/>
    </row>
    <row r="2" spans="1:4" x14ac:dyDescent="0.25">
      <c r="A2" s="1"/>
      <c r="B2" s="1"/>
      <c r="C2" s="40"/>
      <c r="D2" s="1"/>
    </row>
    <row r="3" spans="1:4" ht="15" customHeight="1" x14ac:dyDescent="0.25">
      <c r="A3" s="1"/>
      <c r="B3" s="106" t="s">
        <v>225</v>
      </c>
      <c r="C3" s="106"/>
      <c r="D3" s="1"/>
    </row>
    <row r="4" spans="1:4" ht="25.5" customHeight="1" x14ac:dyDescent="0.25">
      <c r="A4" s="1"/>
      <c r="B4" s="106"/>
      <c r="C4" s="106"/>
      <c r="D4" s="1"/>
    </row>
    <row r="5" spans="1:4" x14ac:dyDescent="0.25">
      <c r="A5" s="1"/>
      <c r="B5" s="1"/>
      <c r="C5" s="40"/>
      <c r="D5" s="1"/>
    </row>
    <row r="6" spans="1:4" x14ac:dyDescent="0.25">
      <c r="A6" s="1"/>
      <c r="B6" s="1"/>
      <c r="C6" s="40"/>
      <c r="D6" s="1"/>
    </row>
    <row r="7" spans="1:4" x14ac:dyDescent="0.25">
      <c r="A7" s="1"/>
      <c r="B7" s="1"/>
      <c r="C7" s="40"/>
      <c r="D7" s="1"/>
    </row>
    <row r="8" spans="1:4" x14ac:dyDescent="0.25">
      <c r="A8" s="1"/>
      <c r="B8" s="67" t="s">
        <v>13</v>
      </c>
      <c r="C8" s="41"/>
      <c r="D8" s="1"/>
    </row>
    <row r="9" spans="1:4" x14ac:dyDescent="0.25">
      <c r="A9" s="1"/>
      <c r="B9" s="75" t="s">
        <v>101</v>
      </c>
      <c r="C9" s="42">
        <v>1.2699999999999999E-2</v>
      </c>
      <c r="D9" s="1"/>
    </row>
    <row r="10" spans="1:4" x14ac:dyDescent="0.25">
      <c r="A10" s="1"/>
      <c r="B10" s="75" t="s">
        <v>21</v>
      </c>
      <c r="C10" s="42">
        <v>1.7500000000000002E-2</v>
      </c>
      <c r="D10" s="1"/>
    </row>
    <row r="11" spans="1:4" x14ac:dyDescent="0.25">
      <c r="A11" s="1"/>
      <c r="B11" s="75" t="s">
        <v>102</v>
      </c>
      <c r="C11" s="42">
        <v>1.6899999999999998E-2</v>
      </c>
      <c r="D11" s="1"/>
    </row>
    <row r="12" spans="1:4" x14ac:dyDescent="0.25">
      <c r="A12" s="1"/>
      <c r="B12" s="24" t="s">
        <v>37</v>
      </c>
      <c r="C12" s="43">
        <v>1.9699999999999999E-2</v>
      </c>
      <c r="D12" s="1"/>
    </row>
    <row r="13" spans="1:4" x14ac:dyDescent="0.25">
      <c r="A13" s="1"/>
      <c r="B13" s="24" t="s">
        <v>118</v>
      </c>
      <c r="C13" s="43">
        <v>1.2200000000000001E-2</v>
      </c>
      <c r="D13" s="1"/>
    </row>
    <row r="14" spans="1:4" x14ac:dyDescent="0.25">
      <c r="A14" s="1"/>
      <c r="B14" s="24" t="s">
        <v>150</v>
      </c>
      <c r="C14" s="44">
        <v>3.3E-3</v>
      </c>
      <c r="D14" s="1"/>
    </row>
    <row r="15" spans="1:4" x14ac:dyDescent="0.25">
      <c r="A15" s="1"/>
      <c r="B15" s="24" t="s">
        <v>190</v>
      </c>
      <c r="C15" s="44">
        <v>3.56E-2</v>
      </c>
      <c r="D15" s="1"/>
    </row>
    <row r="16" spans="1:4" x14ac:dyDescent="0.25">
      <c r="A16" s="1"/>
      <c r="B16" s="121"/>
      <c r="C16" s="123"/>
      <c r="D16" s="1"/>
    </row>
    <row r="17" spans="1:4" x14ac:dyDescent="0.25">
      <c r="A17" s="1"/>
      <c r="B17" s="1"/>
      <c r="C17" s="40"/>
      <c r="D17" s="1"/>
    </row>
    <row r="18" spans="1:4" x14ac:dyDescent="0.25">
      <c r="A18" s="1"/>
      <c r="B18" s="1"/>
      <c r="C18" s="40"/>
      <c r="D18" s="1"/>
    </row>
    <row r="19" spans="1:4" x14ac:dyDescent="0.25">
      <c r="A19" s="1"/>
      <c r="B19" s="67" t="s">
        <v>89</v>
      </c>
      <c r="C19" s="41"/>
      <c r="D19" s="1"/>
    </row>
    <row r="20" spans="1:4" x14ac:dyDescent="0.25">
      <c r="A20" s="1"/>
      <c r="B20" s="75" t="s">
        <v>103</v>
      </c>
      <c r="C20" s="44">
        <v>9.1000000000000004E-3</v>
      </c>
      <c r="D20" s="1"/>
    </row>
    <row r="21" spans="1:4" x14ac:dyDescent="0.25">
      <c r="A21" s="1"/>
      <c r="B21" s="75" t="s">
        <v>104</v>
      </c>
      <c r="C21" s="44">
        <v>1.77E-2</v>
      </c>
      <c r="D21" s="1"/>
    </row>
    <row r="22" spans="1:4" x14ac:dyDescent="0.25">
      <c r="A22" s="1"/>
      <c r="B22" s="75" t="s">
        <v>105</v>
      </c>
      <c r="C22" s="44">
        <v>8.6999999999999994E-3</v>
      </c>
      <c r="D22" s="1"/>
    </row>
    <row r="23" spans="1:4" x14ac:dyDescent="0.25">
      <c r="A23" s="1"/>
      <c r="B23" s="75" t="s">
        <v>106</v>
      </c>
      <c r="C23" s="44">
        <v>2.8399999999999998E-2</v>
      </c>
      <c r="D23" s="1"/>
    </row>
    <row r="24" spans="1:4" x14ac:dyDescent="0.25">
      <c r="A24" s="1"/>
      <c r="B24" s="75" t="s">
        <v>120</v>
      </c>
      <c r="C24" s="44">
        <v>2.75E-2</v>
      </c>
      <c r="D24" s="1"/>
    </row>
    <row r="25" spans="1:4" x14ac:dyDescent="0.25">
      <c r="A25" s="1"/>
      <c r="B25" s="75" t="s">
        <v>151</v>
      </c>
      <c r="C25" s="44">
        <v>1.4800000000000001E-2</v>
      </c>
      <c r="D25" s="1"/>
    </row>
    <row r="26" spans="1:4" x14ac:dyDescent="0.25">
      <c r="A26" s="1"/>
      <c r="B26" s="24" t="s">
        <v>191</v>
      </c>
      <c r="C26" s="44">
        <v>0</v>
      </c>
      <c r="D26" s="1"/>
    </row>
    <row r="27" spans="1:4" x14ac:dyDescent="0.25">
      <c r="A27" s="1"/>
      <c r="B27" s="67"/>
      <c r="C27" s="41"/>
      <c r="D27" s="1"/>
    </row>
    <row r="28" spans="1:4" x14ac:dyDescent="0.25">
      <c r="A28" s="1"/>
      <c r="B28" s="1"/>
      <c r="C28" s="40"/>
      <c r="D28" s="1"/>
    </row>
    <row r="29" spans="1:4" x14ac:dyDescent="0.25">
      <c r="A29" s="1"/>
      <c r="B29" s="1"/>
      <c r="C29" s="40"/>
      <c r="D29" s="1"/>
    </row>
    <row r="30" spans="1:4" x14ac:dyDescent="0.25">
      <c r="A30" s="1"/>
      <c r="B30" s="67" t="s">
        <v>90</v>
      </c>
      <c r="C30" s="41"/>
      <c r="D30" s="1"/>
    </row>
    <row r="31" spans="1:4" x14ac:dyDescent="0.25">
      <c r="A31" s="1"/>
      <c r="B31" s="75" t="s">
        <v>107</v>
      </c>
      <c r="C31" s="42">
        <v>0.02</v>
      </c>
      <c r="D31" s="1"/>
    </row>
    <row r="32" spans="1:4" x14ac:dyDescent="0.25">
      <c r="A32" s="1"/>
      <c r="B32" s="67"/>
      <c r="C32" s="41"/>
      <c r="D32" s="1"/>
    </row>
    <row r="33" spans="1:4" x14ac:dyDescent="0.25">
      <c r="A33" s="1"/>
      <c r="B33" s="1"/>
      <c r="C33" s="40"/>
      <c r="D33" s="1"/>
    </row>
    <row r="34" spans="1:4" x14ac:dyDescent="0.25">
      <c r="A34" s="1"/>
      <c r="B34" s="1"/>
      <c r="C34" s="40"/>
      <c r="D34" s="1"/>
    </row>
    <row r="35" spans="1:4" x14ac:dyDescent="0.25">
      <c r="A35" s="1"/>
      <c r="B35" s="1"/>
      <c r="C35" s="40"/>
      <c r="D35" s="1"/>
    </row>
    <row r="36" spans="1:4" x14ac:dyDescent="0.25">
      <c r="A36" s="1"/>
      <c r="B36" s="1"/>
      <c r="C36" s="40"/>
      <c r="D36" s="1"/>
    </row>
    <row r="37" spans="1:4" x14ac:dyDescent="0.25">
      <c r="A37" s="1"/>
      <c r="B37" s="1"/>
      <c r="C37" s="40"/>
      <c r="D37" s="1"/>
    </row>
    <row r="38" spans="1:4" x14ac:dyDescent="0.25">
      <c r="A38" s="1"/>
      <c r="B38" s="1"/>
      <c r="C38" s="40"/>
      <c r="D38" s="1"/>
    </row>
    <row r="39" spans="1:4" x14ac:dyDescent="0.25">
      <c r="A39" s="1"/>
      <c r="B39" s="1"/>
      <c r="C39" s="40"/>
      <c r="D39" s="1"/>
    </row>
    <row r="40" spans="1:4" x14ac:dyDescent="0.25">
      <c r="A40" s="1"/>
      <c r="B40" s="1"/>
      <c r="C40" s="40"/>
      <c r="D40" s="1"/>
    </row>
    <row r="41" spans="1:4" x14ac:dyDescent="0.25">
      <c r="A41" s="1"/>
      <c r="B41" s="1"/>
      <c r="C41" s="40"/>
      <c r="D41" s="1"/>
    </row>
    <row r="42" spans="1:4" x14ac:dyDescent="0.25">
      <c r="A42" s="1"/>
      <c r="B42" s="1"/>
      <c r="C42" s="40"/>
      <c r="D42" s="1"/>
    </row>
    <row r="43" spans="1:4" x14ac:dyDescent="0.25">
      <c r="A43" s="1"/>
      <c r="B43" s="1"/>
      <c r="C43" s="40"/>
      <c r="D43" s="1"/>
    </row>
    <row r="44" spans="1:4" x14ac:dyDescent="0.25">
      <c r="A44" s="1"/>
      <c r="B44" s="1"/>
      <c r="C44" s="40"/>
      <c r="D44" s="1"/>
    </row>
    <row r="45" spans="1:4" x14ac:dyDescent="0.25">
      <c r="A45" s="1"/>
      <c r="B45" s="1"/>
      <c r="C45" s="40"/>
      <c r="D45" s="1"/>
    </row>
    <row r="46" spans="1:4" x14ac:dyDescent="0.25">
      <c r="A46" s="1"/>
      <c r="B46" s="1"/>
      <c r="C46" s="40"/>
      <c r="D46" s="1"/>
    </row>
    <row r="47" spans="1:4" x14ac:dyDescent="0.25">
      <c r="A47" s="1"/>
      <c r="B47" s="1"/>
      <c r="C47" s="40"/>
      <c r="D47" s="1"/>
    </row>
    <row r="48" spans="1:4" x14ac:dyDescent="0.25">
      <c r="A48" s="1"/>
      <c r="B48" s="1"/>
      <c r="C48" s="40"/>
      <c r="D48" s="1"/>
    </row>
  </sheetData>
  <sheetProtection algorithmName="SHA-512" hashValue="9xLaDtnf8iA9pj50EKyenIsFSLv5HJtaQcyY0grVKg3L4c9aYOP6Er03J3sfZTtVOscilGVfQ53jtQ+hw4pX3g==" saltValue="5X1GKHTUmfzKumrciYrKu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165</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64" t="s">
        <v>116</v>
      </c>
      <c r="C8" s="7">
        <f>'Fane 3. Omkostninger i ØR2022'!E20</f>
        <v>10568578.454735005</v>
      </c>
      <c r="D8" s="8" t="s">
        <v>3</v>
      </c>
      <c r="E8" s="1"/>
    </row>
    <row r="9" spans="1:5" ht="17.25" customHeight="1" x14ac:dyDescent="0.25">
      <c r="A9" s="1"/>
      <c r="B9" s="23" t="s">
        <v>35</v>
      </c>
      <c r="C9" s="7">
        <f>'Fane 10.1. Varige tillæg'!C13</f>
        <v>0</v>
      </c>
      <c r="D9" s="8" t="s">
        <v>3</v>
      </c>
      <c r="E9" s="1"/>
    </row>
    <row r="10" spans="1:5" ht="17.25" customHeight="1" x14ac:dyDescent="0.25">
      <c r="A10" s="1"/>
      <c r="B10" s="23" t="s">
        <v>36</v>
      </c>
      <c r="C10" s="9">
        <f>'Fane 10.1. Varige tillæg'!E13</f>
        <v>0</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376241.39298856619</v>
      </c>
      <c r="D15" s="8" t="s">
        <v>3</v>
      </c>
      <c r="E15" s="1"/>
    </row>
    <row r="16" spans="1:5" ht="17.25" customHeight="1" x14ac:dyDescent="0.25">
      <c r="A16" s="1"/>
      <c r="B16" s="23" t="s">
        <v>9</v>
      </c>
      <c r="C16" s="9">
        <f>-SUM(C8,C9:C15)*'Fane 5. Individuelt eff. krav'!G9</f>
        <v>-92377.357859295706</v>
      </c>
      <c r="D16" s="8" t="s">
        <v>3</v>
      </c>
      <c r="E16" s="1"/>
    </row>
    <row r="17" spans="1:5" ht="17.25" customHeight="1" x14ac:dyDescent="0.25">
      <c r="A17" s="1"/>
      <c r="B17" s="23" t="s">
        <v>23</v>
      </c>
      <c r="C17" s="9">
        <f>-'Fane 4.1. Gen. krav - drift'!G43</f>
        <v>-128334.60783426411</v>
      </c>
      <c r="D17" s="8" t="s">
        <v>3</v>
      </c>
      <c r="E17" s="1"/>
    </row>
    <row r="18" spans="1:5" ht="17.25" customHeight="1" x14ac:dyDescent="0.25">
      <c r="A18" s="1"/>
      <c r="B18" s="23" t="s">
        <v>24</v>
      </c>
      <c r="C18" s="9">
        <f>-'Fane 4.2. Gen. krav - anlæg'!G43</f>
        <v>0</v>
      </c>
      <c r="D18" s="8" t="s">
        <v>3</v>
      </c>
      <c r="E18" s="1"/>
    </row>
    <row r="19" spans="1:5" ht="17.25" customHeight="1" x14ac:dyDescent="0.25">
      <c r="A19" s="1"/>
      <c r="B19" s="47" t="s">
        <v>19</v>
      </c>
      <c r="C19" s="10">
        <f>SUM(C8,C9:C18)</f>
        <v>10724107.882030012</v>
      </c>
      <c r="D19" s="11" t="s">
        <v>3</v>
      </c>
      <c r="E19" s="1"/>
    </row>
    <row r="20" spans="1:5" ht="15" customHeight="1" x14ac:dyDescent="0.25">
      <c r="A20" s="1"/>
      <c r="B20" s="67" t="s">
        <v>11</v>
      </c>
      <c r="C20" s="68"/>
      <c r="D20" s="19"/>
      <c r="E20" s="1"/>
    </row>
    <row r="21" spans="1:5" ht="15" customHeight="1" x14ac:dyDescent="0.25">
      <c r="A21" s="1"/>
      <c r="B21" s="61" t="s">
        <v>11</v>
      </c>
      <c r="C21" s="10">
        <f>'Fane 6. Ikke-påvirkelige omk.'!C15</f>
        <v>6426821.7854395201</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7" t="s">
        <v>81</v>
      </c>
      <c r="C27" s="46">
        <f>SUM(C23:C26)</f>
        <v>0</v>
      </c>
      <c r="D27" s="11" t="s">
        <v>3</v>
      </c>
      <c r="E27" s="1"/>
    </row>
    <row r="28" spans="1:5" ht="15" customHeight="1" x14ac:dyDescent="0.25">
      <c r="A28" s="1"/>
      <c r="B28" s="25" t="s">
        <v>128</v>
      </c>
      <c r="C28" s="68"/>
      <c r="D28" s="19"/>
      <c r="E28" s="1"/>
    </row>
    <row r="29" spans="1:5" x14ac:dyDescent="0.25">
      <c r="A29" s="1"/>
      <c r="B29" s="76" t="s">
        <v>129</v>
      </c>
      <c r="C29" s="10">
        <f>'Fane 7. Kontrol af ØR2021'!E31</f>
        <v>0</v>
      </c>
      <c r="D29" s="11" t="s">
        <v>3</v>
      </c>
      <c r="E29" s="1"/>
    </row>
    <row r="30" spans="1:5" x14ac:dyDescent="0.25">
      <c r="A30" s="1"/>
      <c r="B30" s="25" t="s">
        <v>153</v>
      </c>
      <c r="C30" s="68"/>
      <c r="D30" s="19"/>
      <c r="E30" s="1"/>
    </row>
    <row r="31" spans="1:5" x14ac:dyDescent="0.25">
      <c r="A31" s="1"/>
      <c r="B31" s="76" t="s">
        <v>154</v>
      </c>
      <c r="C31" s="10">
        <f>'Fane 8. Skattesagen'!G12</f>
        <v>0</v>
      </c>
      <c r="D31" s="11" t="s">
        <v>3</v>
      </c>
      <c r="E31" s="1"/>
    </row>
    <row r="32" spans="1:5" x14ac:dyDescent="0.25">
      <c r="A32" s="1"/>
      <c r="B32" s="67" t="s">
        <v>84</v>
      </c>
      <c r="C32" s="34">
        <f>SUM(C19,C21,C27,C29,C31)</f>
        <v>17150929.667469531</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5wmltA0Y6/oPz9MtHUkhFd5PFkHzOkBcH/G1+XAqbTf2KBVmOoFrAxQQdRilJBwMJeX17us3FmXeE3JxHUUhtA==" saltValue="EoVJ0ek/l3/5GMVjiSips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166</v>
      </c>
      <c r="C3" s="98"/>
      <c r="D3" s="98"/>
      <c r="E3" s="1"/>
    </row>
    <row r="4" spans="1:5" ht="15" customHeight="1" x14ac:dyDescent="0.25">
      <c r="A4" s="1"/>
      <c r="B4" s="98"/>
      <c r="C4" s="98"/>
      <c r="D4" s="98"/>
      <c r="E4" s="1"/>
    </row>
    <row r="5" spans="1:5" x14ac:dyDescent="0.25">
      <c r="A5" s="1"/>
      <c r="B5" s="99"/>
      <c r="C5" s="99"/>
      <c r="D5" s="99"/>
      <c r="E5" s="1"/>
    </row>
    <row r="6" spans="1:5" x14ac:dyDescent="0.25">
      <c r="A6" s="1"/>
      <c r="B6" s="1"/>
      <c r="C6" s="1"/>
      <c r="D6" s="1"/>
      <c r="E6" s="1"/>
    </row>
    <row r="7" spans="1:5" x14ac:dyDescent="0.25">
      <c r="A7" s="1"/>
      <c r="B7" s="67" t="s">
        <v>12</v>
      </c>
      <c r="C7" s="68"/>
      <c r="D7" s="19"/>
      <c r="E7" s="1"/>
    </row>
    <row r="8" spans="1:5" ht="15" customHeight="1" x14ac:dyDescent="0.25">
      <c r="A8" s="1"/>
      <c r="B8" s="64" t="s">
        <v>117</v>
      </c>
      <c r="C8" s="7">
        <f>'Fane 2.1. Økonomisk ramme 2023'!C19</f>
        <v>10724107.882030012</v>
      </c>
      <c r="D8" s="8" t="s">
        <v>3</v>
      </c>
      <c r="E8" s="1"/>
    </row>
    <row r="9" spans="1:5" ht="15" customHeight="1" x14ac:dyDescent="0.25">
      <c r="A9" s="1"/>
      <c r="B9" s="60" t="s">
        <v>17</v>
      </c>
      <c r="C9" s="9">
        <f>SUM(C8:C8)*'Fane 13. Nøgletal'!C15</f>
        <v>381778.24060026841</v>
      </c>
      <c r="D9" s="8" t="s">
        <v>3</v>
      </c>
      <c r="E9" s="1"/>
    </row>
    <row r="10" spans="1:5" ht="15" customHeight="1" x14ac:dyDescent="0.25">
      <c r="A10" s="1"/>
      <c r="B10" s="60" t="s">
        <v>9</v>
      </c>
      <c r="C10" s="9">
        <f>-SUM(C8:C9)*'Fane 5. Individuelt eff. krav'!G9</f>
        <v>-93736.802521074729</v>
      </c>
      <c r="D10" s="8" t="s">
        <v>3</v>
      </c>
      <c r="E10" s="1"/>
    </row>
    <row r="11" spans="1:5" ht="15" customHeight="1" x14ac:dyDescent="0.25">
      <c r="A11" s="1"/>
      <c r="B11" s="60" t="s">
        <v>23</v>
      </c>
      <c r="C11" s="9">
        <f>-'Fane 4.1. Gen. krav - drift'!G48</f>
        <v>-130245.25347570065</v>
      </c>
      <c r="D11" s="8" t="s">
        <v>3</v>
      </c>
      <c r="E11" s="1"/>
    </row>
    <row r="12" spans="1:5" ht="15" customHeight="1" x14ac:dyDescent="0.25">
      <c r="A12" s="1"/>
      <c r="B12" s="60" t="s">
        <v>24</v>
      </c>
      <c r="C12" s="9">
        <f>-'Fane 4.2. Gen. krav - anlæg'!G48</f>
        <v>0</v>
      </c>
      <c r="D12" s="8" t="s">
        <v>3</v>
      </c>
      <c r="E12" s="1"/>
    </row>
    <row r="13" spans="1:5" ht="15" customHeight="1" x14ac:dyDescent="0.25">
      <c r="A13" s="1"/>
      <c r="B13" s="32" t="s">
        <v>19</v>
      </c>
      <c r="C13" s="10">
        <f>SUM(C8:C12)</f>
        <v>10881904.066633506</v>
      </c>
      <c r="D13" s="11" t="s">
        <v>3</v>
      </c>
      <c r="E13" s="1"/>
    </row>
    <row r="14" spans="1:5" x14ac:dyDescent="0.25">
      <c r="A14" s="1"/>
      <c r="B14" s="67" t="s">
        <v>11</v>
      </c>
      <c r="C14" s="68"/>
      <c r="D14" s="19"/>
      <c r="E14" s="1"/>
    </row>
    <row r="15" spans="1:5" ht="15" customHeight="1" x14ac:dyDescent="0.25">
      <c r="A15" s="1"/>
      <c r="B15" s="61" t="s">
        <v>11</v>
      </c>
      <c r="C15" s="10">
        <f>'Fane 6. Ikke-påvirkelige omk.'!C15*(1+'Fane 13. Nøgletal'!C15)</f>
        <v>6655616.6410011677</v>
      </c>
      <c r="D15" s="11" t="s">
        <v>3</v>
      </c>
      <c r="E15" s="1"/>
    </row>
    <row r="16" spans="1:5" x14ac:dyDescent="0.25">
      <c r="A16" s="1"/>
      <c r="B16" s="25" t="s">
        <v>128</v>
      </c>
      <c r="C16" s="68"/>
      <c r="D16" s="19"/>
      <c r="E16" s="1"/>
    </row>
    <row r="17" spans="1:5" ht="15" customHeight="1" x14ac:dyDescent="0.25">
      <c r="A17" s="1"/>
      <c r="B17" s="76" t="s">
        <v>129</v>
      </c>
      <c r="C17" s="10">
        <f>'Fane 7. Kontrol af ØR2021'!E31</f>
        <v>0</v>
      </c>
      <c r="D17" s="11" t="s">
        <v>3</v>
      </c>
      <c r="E17" s="1"/>
    </row>
    <row r="18" spans="1:5" x14ac:dyDescent="0.25">
      <c r="A18" s="1"/>
      <c r="B18" s="25" t="s">
        <v>153</v>
      </c>
      <c r="C18" s="68"/>
      <c r="D18" s="19"/>
      <c r="E18" s="1"/>
    </row>
    <row r="19" spans="1:5" x14ac:dyDescent="0.25">
      <c r="A19" s="1"/>
      <c r="B19" s="76" t="s">
        <v>154</v>
      </c>
      <c r="C19" s="10">
        <f>'Fane 8. Skattesagen'!G13</f>
        <v>0</v>
      </c>
      <c r="D19" s="11" t="s">
        <v>3</v>
      </c>
      <c r="E19" s="1"/>
    </row>
    <row r="20" spans="1:5" x14ac:dyDescent="0.25">
      <c r="A20" s="1"/>
      <c r="B20" s="67" t="s">
        <v>138</v>
      </c>
      <c r="C20" s="12">
        <f>SUM(C13,C15,C17,C19)</f>
        <v>17537520.707634673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6JreGi6H+Zd31T59+y/WsJMprG3QnP7yErkFuTTsWB/tuM/kMH7GQA2fHSB8bqD/FH01vzMb0KJM0TfL5c0L2Q==" saltValue="r41B50PkzzmkNYP6CL1lj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167</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7" t="s">
        <v>12</v>
      </c>
      <c r="C7" s="68"/>
      <c r="D7" s="19"/>
      <c r="E7" s="1"/>
    </row>
    <row r="8" spans="1:5" ht="15" customHeight="1" x14ac:dyDescent="0.25">
      <c r="A8" s="1"/>
      <c r="B8" s="64" t="s">
        <v>139</v>
      </c>
      <c r="C8" s="7">
        <f>'Fane 2.2. Økonomisk ramme 2024'!C13</f>
        <v>10881904.066633506</v>
      </c>
      <c r="D8" s="8" t="s">
        <v>3</v>
      </c>
      <c r="E8" s="1"/>
    </row>
    <row r="9" spans="1:5" ht="15" customHeight="1" x14ac:dyDescent="0.25">
      <c r="A9" s="1"/>
      <c r="B9" s="60" t="s">
        <v>17</v>
      </c>
      <c r="C9" s="9">
        <f>SUM(C8:C8)*'Fane 13. Nøgletal'!C15</f>
        <v>387395.78477215278</v>
      </c>
      <c r="D9" s="8" t="s">
        <v>3</v>
      </c>
      <c r="E9" s="1"/>
    </row>
    <row r="10" spans="1:5" ht="15" customHeight="1" x14ac:dyDescent="0.25">
      <c r="A10" s="1"/>
      <c r="B10" s="60" t="s">
        <v>9</v>
      </c>
      <c r="C10" s="9">
        <f>-SUM(C8:C9)*'Fane 5. Individuelt eff. krav'!G9</f>
        <v>-95116.06035375112</v>
      </c>
      <c r="D10" s="8" t="s">
        <v>3</v>
      </c>
      <c r="E10" s="1"/>
    </row>
    <row r="11" spans="1:5" ht="15" customHeight="1" x14ac:dyDescent="0.25">
      <c r="A11" s="1"/>
      <c r="B11" s="60" t="s">
        <v>23</v>
      </c>
      <c r="C11" s="9">
        <f>-'Fane 4.1. Gen. krav - drift'!G53</f>
        <v>-132184.34480944689</v>
      </c>
      <c r="D11" s="8" t="s">
        <v>3</v>
      </c>
      <c r="E11" s="1"/>
    </row>
    <row r="12" spans="1:5" ht="15" customHeight="1" x14ac:dyDescent="0.25">
      <c r="A12" s="1"/>
      <c r="B12" s="60" t="s">
        <v>24</v>
      </c>
      <c r="C12" s="27">
        <f>-'Fane 4.2. Gen. krav - anlæg'!G53</f>
        <v>0</v>
      </c>
      <c r="D12" s="8" t="s">
        <v>3</v>
      </c>
      <c r="E12" s="1"/>
    </row>
    <row r="13" spans="1:5" x14ac:dyDescent="0.25">
      <c r="A13" s="1"/>
      <c r="B13" s="32" t="s">
        <v>19</v>
      </c>
      <c r="C13" s="10">
        <f>SUM(C8:C12)</f>
        <v>11041999.446242461</v>
      </c>
      <c r="D13" s="11" t="s">
        <v>3</v>
      </c>
      <c r="E13" s="1"/>
    </row>
    <row r="14" spans="1:5" x14ac:dyDescent="0.25">
      <c r="A14" s="1"/>
      <c r="B14" s="67" t="s">
        <v>11</v>
      </c>
      <c r="C14" s="68"/>
      <c r="D14" s="19"/>
      <c r="E14" s="1"/>
    </row>
    <row r="15" spans="1:5" ht="15" customHeight="1" x14ac:dyDescent="0.25">
      <c r="A15" s="1"/>
      <c r="B15" s="61" t="s">
        <v>11</v>
      </c>
      <c r="C15" s="10">
        <f>'Fane 6. Ikke-påvirkelige omk.'!C15*(1+'Fane 13. Nøgletal'!C15)^2</f>
        <v>6892556.5934208091</v>
      </c>
      <c r="D15" s="11" t="s">
        <v>3</v>
      </c>
      <c r="E15" s="1"/>
    </row>
    <row r="16" spans="1:5" x14ac:dyDescent="0.25">
      <c r="A16" s="1"/>
      <c r="B16" s="67" t="s">
        <v>128</v>
      </c>
      <c r="C16" s="68"/>
      <c r="D16" s="19"/>
      <c r="E16" s="1"/>
    </row>
    <row r="17" spans="1:5" x14ac:dyDescent="0.25">
      <c r="A17" s="1"/>
      <c r="B17" s="61" t="s">
        <v>129</v>
      </c>
      <c r="C17" s="10">
        <v>0</v>
      </c>
      <c r="D17" s="11" t="s">
        <v>3</v>
      </c>
      <c r="E17" s="1"/>
    </row>
    <row r="18" spans="1:5" ht="15" customHeight="1" x14ac:dyDescent="0.25">
      <c r="A18" s="1"/>
      <c r="B18" s="25" t="s">
        <v>153</v>
      </c>
      <c r="C18" s="68"/>
      <c r="D18" s="19"/>
      <c r="E18" s="1"/>
    </row>
    <row r="19" spans="1:5" ht="15" customHeight="1" x14ac:dyDescent="0.25">
      <c r="A19" s="1"/>
      <c r="B19" s="76" t="s">
        <v>154</v>
      </c>
      <c r="C19" s="10">
        <f>'Fane 8. Skattesagen'!G14</f>
        <v>0</v>
      </c>
      <c r="D19" s="11" t="s">
        <v>3</v>
      </c>
      <c r="E19" s="1"/>
    </row>
    <row r="20" spans="1:5" x14ac:dyDescent="0.25">
      <c r="A20" s="1"/>
      <c r="B20" s="67" t="s">
        <v>140</v>
      </c>
      <c r="C20" s="12">
        <f>SUM(C13,C15,C17,C19)</f>
        <v>17934556.03966327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8clgxH1Z72Y9nB1O35YTh8NdFiRmCum0BNySo3sA+76/bC6hAGOqYLZXTnAbGqnbE0NFJeBsgPZkHM3E9KdsWw==" saltValue="0omga99aTB2eBkSWMz7kP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168</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7" t="s">
        <v>12</v>
      </c>
      <c r="C7" s="68"/>
      <c r="D7" s="19"/>
      <c r="E7" s="1"/>
    </row>
    <row r="8" spans="1:5" ht="15" customHeight="1" x14ac:dyDescent="0.25">
      <c r="A8" s="1"/>
      <c r="B8" s="64" t="s">
        <v>169</v>
      </c>
      <c r="C8" s="7">
        <f>'Fane 2.3. Økonomisk ramme 2025'!C13</f>
        <v>11041999.446242461</v>
      </c>
      <c r="D8" s="8" t="s">
        <v>3</v>
      </c>
      <c r="E8" s="1"/>
    </row>
    <row r="9" spans="1:5" ht="15" customHeight="1" x14ac:dyDescent="0.25">
      <c r="A9" s="1"/>
      <c r="B9" s="60" t="s">
        <v>17</v>
      </c>
      <c r="C9" s="9">
        <f>SUM(C8:C8)*'Fane 13. Nøgletal'!C15</f>
        <v>393095.18028623163</v>
      </c>
      <c r="D9" s="8" t="s">
        <v>3</v>
      </c>
      <c r="E9" s="1"/>
    </row>
    <row r="10" spans="1:5" ht="15" customHeight="1" x14ac:dyDescent="0.25">
      <c r="A10" s="1"/>
      <c r="B10" s="60" t="s">
        <v>9</v>
      </c>
      <c r="C10" s="9">
        <f>-SUM(C8:C9)*'Fane 5. Individuelt eff. krav'!G9</f>
        <v>-96515.414887295832</v>
      </c>
      <c r="D10" s="8" t="s">
        <v>3</v>
      </c>
      <c r="E10" s="1"/>
    </row>
    <row r="11" spans="1:5" ht="15" customHeight="1" x14ac:dyDescent="0.25">
      <c r="A11" s="1"/>
      <c r="B11" s="60" t="s">
        <v>23</v>
      </c>
      <c r="C11" s="9">
        <f>-'Fane 4.1. Gen. krav - drift'!G58</f>
        <v>-134152.30533496998</v>
      </c>
      <c r="D11" s="8" t="s">
        <v>3</v>
      </c>
      <c r="E11" s="1"/>
    </row>
    <row r="12" spans="1:5" ht="15" customHeight="1" x14ac:dyDescent="0.25">
      <c r="A12" s="1"/>
      <c r="B12" s="60" t="s">
        <v>24</v>
      </c>
      <c r="C12" s="9">
        <f>-'Fane 4.2. Gen. krav - anlæg'!G58</f>
        <v>0</v>
      </c>
      <c r="D12" s="8" t="s">
        <v>3</v>
      </c>
      <c r="E12" s="1"/>
    </row>
    <row r="13" spans="1:5" x14ac:dyDescent="0.25">
      <c r="A13" s="1"/>
      <c r="B13" s="32" t="s">
        <v>19</v>
      </c>
      <c r="C13" s="10">
        <f>SUM(C8:C12)</f>
        <v>11204426.906306427</v>
      </c>
      <c r="D13" s="11" t="s">
        <v>3</v>
      </c>
      <c r="E13" s="1"/>
    </row>
    <row r="14" spans="1:5" x14ac:dyDescent="0.25">
      <c r="A14" s="1"/>
      <c r="B14" s="67" t="s">
        <v>11</v>
      </c>
      <c r="C14" s="68"/>
      <c r="D14" s="19"/>
      <c r="E14" s="1"/>
    </row>
    <row r="15" spans="1:5" ht="15" customHeight="1" x14ac:dyDescent="0.25">
      <c r="A15" s="1"/>
      <c r="B15" s="61" t="s">
        <v>11</v>
      </c>
      <c r="C15" s="10">
        <f>'Fane 6. Ikke-påvirkelige omk.'!C15*(1+'Fane 13. Nøgletal'!C15)^3</f>
        <v>7137931.6081465911</v>
      </c>
      <c r="D15" s="11" t="s">
        <v>3</v>
      </c>
      <c r="E15" s="1"/>
    </row>
    <row r="16" spans="1:5" x14ac:dyDescent="0.25">
      <c r="A16" s="1"/>
      <c r="B16" s="67" t="s">
        <v>128</v>
      </c>
      <c r="C16" s="68"/>
      <c r="D16" s="19"/>
      <c r="E16" s="1"/>
    </row>
    <row r="17" spans="1:5" x14ac:dyDescent="0.25">
      <c r="A17" s="1"/>
      <c r="B17" s="61" t="s">
        <v>129</v>
      </c>
      <c r="C17" s="10">
        <v>0</v>
      </c>
      <c r="D17" s="11" t="s">
        <v>3</v>
      </c>
      <c r="E17" s="1"/>
    </row>
    <row r="18" spans="1:5" x14ac:dyDescent="0.25">
      <c r="A18" s="1"/>
      <c r="B18" s="25" t="s">
        <v>153</v>
      </c>
      <c r="C18" s="68"/>
      <c r="D18" s="19"/>
      <c r="E18" s="1"/>
    </row>
    <row r="19" spans="1:5" x14ac:dyDescent="0.25">
      <c r="A19" s="1"/>
      <c r="B19" s="76" t="s">
        <v>154</v>
      </c>
      <c r="C19" s="10">
        <f>'Fane 8. Skattesagen'!G15</f>
        <v>0</v>
      </c>
      <c r="D19" s="11" t="s">
        <v>3</v>
      </c>
      <c r="E19" s="1"/>
    </row>
    <row r="20" spans="1:5" x14ac:dyDescent="0.25">
      <c r="A20" s="1"/>
      <c r="B20" s="67" t="s">
        <v>170</v>
      </c>
      <c r="C20" s="12">
        <f>SUM(C13,C15,C17,C19)</f>
        <v>18342358.514453016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nhFLbuAfPoNpowHCG6Xg/1WB00NBxBtzdn1pTePGaWbw9QhNoB/g6xC6foI+Ed73VHcSbr3kyeTY9gNTAn9Gzw==" saltValue="TD1fKFY3vSnkjo3247ZRy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171</v>
      </c>
      <c r="C3" s="106"/>
      <c r="D3" s="106"/>
      <c r="E3" s="106"/>
      <c r="F3" s="106"/>
      <c r="G3" s="1"/>
    </row>
    <row r="4" spans="1:7" ht="29.2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07" t="s">
        <v>22</v>
      </c>
      <c r="C9" s="108"/>
      <c r="D9" s="109"/>
      <c r="E9" s="7">
        <v>10747667.605327636</v>
      </c>
      <c r="F9" s="8" t="s">
        <v>3</v>
      </c>
      <c r="G9" s="1"/>
    </row>
    <row r="10" spans="1:7" ht="15" customHeight="1" x14ac:dyDescent="0.25">
      <c r="A10" s="1"/>
      <c r="B10" s="100" t="s">
        <v>35</v>
      </c>
      <c r="C10" s="101"/>
      <c r="D10" s="102"/>
      <c r="E10" s="9">
        <v>0</v>
      </c>
      <c r="F10" s="8" t="s">
        <v>3</v>
      </c>
      <c r="G10" s="1"/>
    </row>
    <row r="11" spans="1:7" ht="15" customHeight="1" x14ac:dyDescent="0.25">
      <c r="A11" s="1"/>
      <c r="B11" s="100" t="s">
        <v>36</v>
      </c>
      <c r="C11" s="101"/>
      <c r="D11" s="102"/>
      <c r="E11" s="9">
        <v>0</v>
      </c>
      <c r="F11" s="8" t="s">
        <v>3</v>
      </c>
      <c r="G11" s="1"/>
    </row>
    <row r="12" spans="1:7" x14ac:dyDescent="0.25">
      <c r="A12" s="1"/>
      <c r="B12" s="100" t="s">
        <v>26</v>
      </c>
      <c r="C12" s="101"/>
      <c r="D12" s="102"/>
      <c r="E12" s="9">
        <v>0</v>
      </c>
      <c r="F12" s="8" t="s">
        <v>3</v>
      </c>
      <c r="G12" s="1"/>
    </row>
    <row r="13" spans="1:7" x14ac:dyDescent="0.25">
      <c r="A13" s="1"/>
      <c r="B13" s="100" t="s">
        <v>25</v>
      </c>
      <c r="C13" s="101"/>
      <c r="D13" s="102"/>
      <c r="E13" s="9">
        <v>0</v>
      </c>
      <c r="F13" s="8" t="s">
        <v>3</v>
      </c>
      <c r="G13" s="1"/>
    </row>
    <row r="14" spans="1:7" x14ac:dyDescent="0.25">
      <c r="A14" s="1"/>
      <c r="B14" s="100" t="s">
        <v>114</v>
      </c>
      <c r="C14" s="101"/>
      <c r="D14" s="102"/>
      <c r="E14" s="9">
        <v>0</v>
      </c>
      <c r="F14" s="8" t="s">
        <v>3</v>
      </c>
      <c r="G14" s="1"/>
    </row>
    <row r="15" spans="1:7" x14ac:dyDescent="0.25">
      <c r="A15" s="1"/>
      <c r="B15" s="100" t="s">
        <v>115</v>
      </c>
      <c r="C15" s="101"/>
      <c r="D15" s="102"/>
      <c r="E15" s="9">
        <v>0</v>
      </c>
      <c r="F15" s="8" t="s">
        <v>3</v>
      </c>
      <c r="G15" s="1"/>
    </row>
    <row r="16" spans="1:7" x14ac:dyDescent="0.25">
      <c r="A16" s="1"/>
      <c r="B16" s="100" t="s">
        <v>17</v>
      </c>
      <c r="C16" s="101"/>
      <c r="D16" s="102"/>
      <c r="E16" s="9">
        <v>131121.54478499715</v>
      </c>
      <c r="F16" s="8" t="s">
        <v>3</v>
      </c>
      <c r="G16" s="30"/>
    </row>
    <row r="17" spans="1:7" x14ac:dyDescent="0.25">
      <c r="A17" s="1"/>
      <c r="B17" s="100" t="s">
        <v>9</v>
      </c>
      <c r="C17" s="101"/>
      <c r="D17" s="102"/>
      <c r="E17" s="9">
        <v>-41898.502514365478</v>
      </c>
      <c r="F17" s="8" t="s">
        <v>3</v>
      </c>
      <c r="G17" s="1"/>
    </row>
    <row r="18" spans="1:7" x14ac:dyDescent="0.25">
      <c r="A18" s="1"/>
      <c r="B18" s="100" t="s">
        <v>23</v>
      </c>
      <c r="C18" s="101"/>
      <c r="D18" s="102"/>
      <c r="E18" s="9">
        <v>-126451.99059823753</v>
      </c>
      <c r="F18" s="8" t="s">
        <v>3</v>
      </c>
      <c r="G18" s="1"/>
    </row>
    <row r="19" spans="1:7" x14ac:dyDescent="0.25">
      <c r="A19" s="1"/>
      <c r="B19" s="100" t="s">
        <v>24</v>
      </c>
      <c r="C19" s="101"/>
      <c r="D19" s="102"/>
      <c r="E19" s="9">
        <v>-141860.20226502375</v>
      </c>
      <c r="F19" s="8" t="s">
        <v>3</v>
      </c>
      <c r="G19" s="1"/>
    </row>
    <row r="20" spans="1:7" x14ac:dyDescent="0.25">
      <c r="A20" s="1"/>
      <c r="B20" s="113" t="s">
        <v>19</v>
      </c>
      <c r="C20" s="114"/>
      <c r="D20" s="115"/>
      <c r="E20" s="31">
        <f>SUM(E9:E19)</f>
        <v>10568578.454735005</v>
      </c>
      <c r="F20" s="33" t="s">
        <v>3</v>
      </c>
      <c r="G20" s="1"/>
    </row>
    <row r="21" spans="1:7" x14ac:dyDescent="0.25">
      <c r="A21" s="1"/>
      <c r="B21" s="67" t="s">
        <v>11</v>
      </c>
      <c r="C21" s="68"/>
      <c r="D21" s="68"/>
      <c r="E21" s="68"/>
      <c r="F21" s="19"/>
      <c r="G21" s="1"/>
    </row>
    <row r="22" spans="1:7" x14ac:dyDescent="0.25">
      <c r="A22" s="1"/>
      <c r="B22" s="103" t="s">
        <v>11</v>
      </c>
      <c r="C22" s="104"/>
      <c r="D22" s="105"/>
      <c r="E22" s="10">
        <v>6035582.5262301611</v>
      </c>
      <c r="F22" s="11" t="s">
        <v>3</v>
      </c>
      <c r="G22" s="1"/>
    </row>
    <row r="23" spans="1:7" ht="15" customHeight="1" x14ac:dyDescent="0.25">
      <c r="A23" s="1"/>
      <c r="B23" s="119" t="s">
        <v>80</v>
      </c>
      <c r="C23" s="120"/>
      <c r="D23" s="120"/>
      <c r="E23" s="68"/>
      <c r="F23" s="68"/>
      <c r="G23" s="1"/>
    </row>
    <row r="24" spans="1:7" ht="14.25" customHeight="1" x14ac:dyDescent="0.25">
      <c r="A24" s="1"/>
      <c r="B24" s="110" t="s">
        <v>76</v>
      </c>
      <c r="C24" s="111"/>
      <c r="D24" s="112"/>
      <c r="E24" s="9">
        <v>0</v>
      </c>
      <c r="F24" s="8" t="s">
        <v>3</v>
      </c>
      <c r="G24" s="1"/>
    </row>
    <row r="25" spans="1:7" ht="14.25" customHeight="1" x14ac:dyDescent="0.25">
      <c r="A25" s="1"/>
      <c r="B25" s="110" t="s">
        <v>77</v>
      </c>
      <c r="C25" s="111"/>
      <c r="D25" s="112"/>
      <c r="E25" s="9">
        <v>0</v>
      </c>
      <c r="F25" s="8" t="s">
        <v>3</v>
      </c>
      <c r="G25" s="1"/>
    </row>
    <row r="26" spans="1:7" x14ac:dyDescent="0.25">
      <c r="A26" s="1"/>
      <c r="B26" s="116" t="s">
        <v>81</v>
      </c>
      <c r="C26" s="117"/>
      <c r="D26" s="117"/>
      <c r="E26" s="10">
        <v>0</v>
      </c>
      <c r="F26" s="11" t="s">
        <v>3</v>
      </c>
      <c r="G26" s="1"/>
    </row>
    <row r="27" spans="1:7" x14ac:dyDescent="0.25">
      <c r="A27" s="1"/>
      <c r="B27" s="67" t="s">
        <v>128</v>
      </c>
      <c r="C27" s="68"/>
      <c r="D27" s="68"/>
      <c r="E27" s="68"/>
      <c r="F27" s="19"/>
      <c r="G27" s="1"/>
    </row>
    <row r="28" spans="1:7" ht="15" customHeight="1" x14ac:dyDescent="0.25">
      <c r="A28" s="1"/>
      <c r="B28" s="116" t="s">
        <v>129</v>
      </c>
      <c r="C28" s="117"/>
      <c r="D28" s="118"/>
      <c r="E28" s="10">
        <v>0</v>
      </c>
      <c r="F28" s="11" t="s">
        <v>3</v>
      </c>
      <c r="G28" s="1"/>
    </row>
    <row r="29" spans="1:7" x14ac:dyDescent="0.25">
      <c r="A29" s="1"/>
      <c r="B29" s="67" t="s">
        <v>159</v>
      </c>
      <c r="C29" s="68"/>
      <c r="D29" s="68"/>
      <c r="E29" s="68"/>
      <c r="F29" s="19"/>
      <c r="G29" s="1"/>
    </row>
    <row r="30" spans="1:7" ht="15.75" customHeight="1" x14ac:dyDescent="0.25">
      <c r="A30" s="1"/>
      <c r="B30" s="103" t="s">
        <v>160</v>
      </c>
      <c r="C30" s="104"/>
      <c r="D30" s="105"/>
      <c r="E30" s="10">
        <v>0</v>
      </c>
      <c r="F30" s="11" t="s">
        <v>3</v>
      </c>
      <c r="G30" s="1"/>
    </row>
    <row r="31" spans="1:7" ht="15.75" customHeight="1" x14ac:dyDescent="0.25">
      <c r="A31" s="1"/>
      <c r="B31" s="121" t="s">
        <v>153</v>
      </c>
      <c r="C31" s="122"/>
      <c r="D31" s="122"/>
      <c r="E31" s="122"/>
      <c r="F31" s="123"/>
      <c r="G31" s="1"/>
    </row>
    <row r="32" spans="1:7" ht="15.75" customHeight="1" x14ac:dyDescent="0.25">
      <c r="A32" s="1"/>
      <c r="B32" s="76" t="s">
        <v>154</v>
      </c>
      <c r="C32" s="10"/>
      <c r="D32" s="11"/>
      <c r="E32" s="10">
        <f>'Fane 8. Skattesagen'!G11</f>
        <v>0</v>
      </c>
      <c r="F32" s="11" t="s">
        <v>3</v>
      </c>
      <c r="G32" s="1"/>
    </row>
    <row r="33" spans="1:7" x14ac:dyDescent="0.25">
      <c r="A33" s="1"/>
      <c r="B33" s="78" t="s">
        <v>27</v>
      </c>
      <c r="C33" s="79"/>
      <c r="D33" s="79"/>
      <c r="E33" s="12">
        <f>E20+E22+E26+E28+E30+E32</f>
        <v>16604160.980965167</v>
      </c>
      <c r="F33" s="13" t="s">
        <v>3</v>
      </c>
      <c r="G33" s="1"/>
    </row>
    <row r="34" spans="1:7" ht="27.75" customHeight="1" x14ac:dyDescent="0.25">
      <c r="A34" s="1"/>
      <c r="B34" s="110" t="s">
        <v>173</v>
      </c>
      <c r="C34" s="111"/>
      <c r="D34" s="111"/>
      <c r="E34" s="111"/>
      <c r="F34" s="11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vmaaWRHXcSCxrRTJef8uU+OjLzHN+ClS5XLuV0wSRAT2GRwEhai4v2SaIbHAgiDCPJ++s1x4IMYVwDi+/hxngg==" saltValue="94XHbSg2jCXfjixKOgIpVQ=="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9" customWidth="1"/>
    <col min="8" max="8" width="3.7109375" style="2" customWidth="1"/>
    <col min="9" max="9" width="6.7109375" style="2" customWidth="1"/>
    <col min="10" max="16384" width="9" style="2"/>
  </cols>
  <sheetData>
    <row r="1" spans="1:9" ht="15" customHeight="1" x14ac:dyDescent="0.25">
      <c r="A1" s="1"/>
      <c r="B1" s="106" t="s">
        <v>98</v>
      </c>
      <c r="C1" s="106"/>
      <c r="D1" s="106"/>
      <c r="E1" s="106"/>
      <c r="F1" s="106"/>
      <c r="G1" s="106"/>
      <c r="H1" s="106"/>
      <c r="I1" s="1"/>
    </row>
    <row r="2" spans="1:9" ht="15" customHeight="1" x14ac:dyDescent="0.25">
      <c r="A2" s="1"/>
      <c r="B2" s="106"/>
      <c r="C2" s="106"/>
      <c r="D2" s="106"/>
      <c r="E2" s="106"/>
      <c r="F2" s="106"/>
      <c r="G2" s="106"/>
      <c r="H2" s="106"/>
      <c r="I2" s="1"/>
    </row>
    <row r="3" spans="1:9" ht="15" customHeight="1" x14ac:dyDescent="0.25">
      <c r="A3" s="1"/>
      <c r="B3" s="106"/>
      <c r="C3" s="106"/>
      <c r="D3" s="106"/>
      <c r="E3" s="106"/>
      <c r="F3" s="106"/>
      <c r="G3" s="106"/>
      <c r="H3" s="106"/>
      <c r="I3" s="1"/>
    </row>
    <row r="4" spans="1:9" x14ac:dyDescent="0.25">
      <c r="A4" s="1"/>
      <c r="B4" s="121" t="s">
        <v>49</v>
      </c>
      <c r="C4" s="122"/>
      <c r="D4" s="122"/>
      <c r="E4" s="122"/>
      <c r="F4" s="122"/>
      <c r="G4" s="122"/>
      <c r="H4" s="123"/>
      <c r="I4" s="1"/>
    </row>
    <row r="5" spans="1:9" x14ac:dyDescent="0.25">
      <c r="A5" s="1"/>
      <c r="B5" s="124" t="s">
        <v>38</v>
      </c>
      <c r="C5" s="125"/>
      <c r="D5" s="125"/>
      <c r="E5" s="125"/>
      <c r="F5" s="126"/>
      <c r="G5" s="54">
        <v>6519215.3240284035</v>
      </c>
      <c r="H5" s="14" t="s">
        <v>3</v>
      </c>
      <c r="I5" s="1"/>
    </row>
    <row r="6" spans="1:9" x14ac:dyDescent="0.25">
      <c r="A6" s="1"/>
      <c r="B6" s="124" t="s">
        <v>39</v>
      </c>
      <c r="C6" s="125"/>
      <c r="D6" s="125"/>
      <c r="E6" s="125"/>
      <c r="F6" s="126"/>
      <c r="G6" s="54">
        <f>G5*'Fane 13. Nøgletal'!C31</f>
        <v>130384.30648056808</v>
      </c>
      <c r="H6" s="14" t="s">
        <v>3</v>
      </c>
      <c r="I6" s="1"/>
    </row>
    <row r="7" spans="1:9" x14ac:dyDescent="0.25">
      <c r="A7" s="1"/>
      <c r="B7" s="67"/>
      <c r="C7" s="68"/>
      <c r="D7" s="68"/>
      <c r="E7" s="68"/>
      <c r="F7" s="68"/>
      <c r="G7" s="55"/>
      <c r="H7" s="19"/>
      <c r="I7" s="1"/>
    </row>
    <row r="8" spans="1:9" x14ac:dyDescent="0.25">
      <c r="A8" s="1"/>
      <c r="B8" s="1"/>
      <c r="C8" s="1"/>
      <c r="D8" s="1"/>
      <c r="E8" s="1"/>
      <c r="F8" s="1"/>
      <c r="G8" s="56"/>
      <c r="H8" s="1"/>
      <c r="I8" s="1"/>
    </row>
    <row r="9" spans="1:9" x14ac:dyDescent="0.25">
      <c r="A9" s="1"/>
      <c r="B9" s="121" t="s">
        <v>50</v>
      </c>
      <c r="C9" s="122"/>
      <c r="D9" s="122"/>
      <c r="E9" s="122"/>
      <c r="F9" s="122"/>
      <c r="G9" s="127"/>
      <c r="H9" s="123"/>
      <c r="I9" s="1"/>
    </row>
    <row r="10" spans="1:9" x14ac:dyDescent="0.25">
      <c r="A10" s="1"/>
      <c r="B10" s="124" t="s">
        <v>40</v>
      </c>
      <c r="C10" s="125"/>
      <c r="D10" s="125"/>
      <c r="E10" s="125"/>
      <c r="F10" s="126"/>
      <c r="G10" s="54">
        <f>(G5-G6)*(1+'Fane 13. Nøgletal'!C9)</f>
        <v>6469969.1714706924</v>
      </c>
      <c r="H10" s="14" t="s">
        <v>3</v>
      </c>
      <c r="I10" s="1"/>
    </row>
    <row r="11" spans="1:9" x14ac:dyDescent="0.25">
      <c r="A11" s="1"/>
      <c r="B11" s="128" t="s">
        <v>41</v>
      </c>
      <c r="C11" s="129"/>
      <c r="D11" s="129"/>
      <c r="E11" s="129"/>
      <c r="F11" s="130"/>
      <c r="G11" s="54">
        <v>0</v>
      </c>
      <c r="H11" s="14" t="s">
        <v>3</v>
      </c>
      <c r="I11" s="1"/>
    </row>
    <row r="12" spans="1:9" x14ac:dyDescent="0.25">
      <c r="A12" s="1"/>
      <c r="B12" s="124" t="s">
        <v>42</v>
      </c>
      <c r="C12" s="125"/>
      <c r="D12" s="125"/>
      <c r="E12" s="125"/>
      <c r="F12" s="126"/>
      <c r="G12" s="54">
        <f>(G10+G11)*'Fane 13. Nøgletal'!C31</f>
        <v>129399.38342941385</v>
      </c>
      <c r="H12" s="14" t="s">
        <v>3</v>
      </c>
      <c r="I12" s="1"/>
    </row>
    <row r="13" spans="1:9" x14ac:dyDescent="0.25">
      <c r="A13" s="1"/>
      <c r="B13" s="67"/>
      <c r="C13" s="68"/>
      <c r="D13" s="68"/>
      <c r="E13" s="68"/>
      <c r="F13" s="68"/>
      <c r="G13" s="55"/>
      <c r="H13" s="19"/>
      <c r="I13" s="1"/>
    </row>
    <row r="14" spans="1:9" x14ac:dyDescent="0.25">
      <c r="A14" s="1"/>
      <c r="B14" s="1"/>
      <c r="C14" s="1"/>
      <c r="D14" s="1"/>
      <c r="E14" s="1"/>
      <c r="F14" s="1"/>
      <c r="G14" s="56"/>
      <c r="H14" s="1"/>
      <c r="I14" s="1"/>
    </row>
    <row r="15" spans="1:9" x14ac:dyDescent="0.25">
      <c r="A15" s="1"/>
      <c r="B15" s="121" t="s">
        <v>51</v>
      </c>
      <c r="C15" s="122"/>
      <c r="D15" s="122"/>
      <c r="E15" s="122"/>
      <c r="F15" s="122"/>
      <c r="G15" s="127"/>
      <c r="H15" s="123"/>
      <c r="I15" s="1"/>
    </row>
    <row r="16" spans="1:9" x14ac:dyDescent="0.25">
      <c r="A16" s="1"/>
      <c r="B16" s="124" t="s">
        <v>43</v>
      </c>
      <c r="C16" s="125"/>
      <c r="D16" s="125"/>
      <c r="E16" s="125"/>
      <c r="F16" s="126"/>
      <c r="G16" s="54">
        <f>(G10+G11-G12)*(1+'Fane 13. Nøgletal'!C11)</f>
        <v>6447725.4174591759</v>
      </c>
      <c r="H16" s="14" t="s">
        <v>3</v>
      </c>
      <c r="I16" s="1"/>
    </row>
    <row r="17" spans="1:9" x14ac:dyDescent="0.25">
      <c r="A17" s="1"/>
      <c r="B17" s="124" t="s">
        <v>108</v>
      </c>
      <c r="C17" s="125"/>
      <c r="D17" s="125"/>
      <c r="E17" s="125"/>
      <c r="F17" s="126"/>
      <c r="G17" s="54">
        <v>0</v>
      </c>
      <c r="H17" s="14" t="s">
        <v>3</v>
      </c>
      <c r="I17" s="1"/>
    </row>
    <row r="18" spans="1:9" x14ac:dyDescent="0.25">
      <c r="A18" s="1"/>
      <c r="B18" s="128" t="s">
        <v>44</v>
      </c>
      <c r="C18" s="129"/>
      <c r="D18" s="129"/>
      <c r="E18" s="129"/>
      <c r="F18" s="130"/>
      <c r="G18" s="54">
        <v>0</v>
      </c>
      <c r="H18" s="14" t="s">
        <v>3</v>
      </c>
      <c r="I18" s="1"/>
    </row>
    <row r="19" spans="1:9" x14ac:dyDescent="0.25">
      <c r="A19" s="1"/>
      <c r="B19" s="124" t="s">
        <v>45</v>
      </c>
      <c r="C19" s="125"/>
      <c r="D19" s="125"/>
      <c r="E19" s="125"/>
      <c r="F19" s="126"/>
      <c r="G19" s="54">
        <f>SUM(G16:G18)*'Fane 13. Nøgletal'!C31</f>
        <v>128954.50834918352</v>
      </c>
      <c r="H19" s="14" t="s">
        <v>3</v>
      </c>
      <c r="I19" s="1"/>
    </row>
    <row r="20" spans="1:9" x14ac:dyDescent="0.25">
      <c r="A20" s="1"/>
      <c r="B20" s="67"/>
      <c r="C20" s="68"/>
      <c r="D20" s="68"/>
      <c r="E20" s="68"/>
      <c r="F20" s="68"/>
      <c r="G20" s="55"/>
      <c r="H20" s="19"/>
      <c r="I20" s="1"/>
    </row>
    <row r="21" spans="1:9" x14ac:dyDescent="0.25">
      <c r="A21" s="1"/>
      <c r="B21" s="1"/>
      <c r="C21" s="1"/>
      <c r="D21" s="1"/>
      <c r="E21" s="1"/>
      <c r="F21" s="1"/>
      <c r="G21" s="56"/>
      <c r="H21" s="1"/>
      <c r="I21" s="1"/>
    </row>
    <row r="22" spans="1:9" x14ac:dyDescent="0.25">
      <c r="A22" s="1"/>
      <c r="B22" s="121" t="s">
        <v>52</v>
      </c>
      <c r="C22" s="122"/>
      <c r="D22" s="122"/>
      <c r="E22" s="122"/>
      <c r="F22" s="122"/>
      <c r="G22" s="127"/>
      <c r="H22" s="123"/>
      <c r="I22" s="1"/>
    </row>
    <row r="23" spans="1:9" x14ac:dyDescent="0.25">
      <c r="A23" s="1"/>
      <c r="B23" s="124" t="s">
        <v>46</v>
      </c>
      <c r="C23" s="125"/>
      <c r="D23" s="125"/>
      <c r="E23" s="125"/>
      <c r="F23" s="126"/>
      <c r="G23" s="54">
        <f>(SUM(G16:G18)-G19)*(1+'Fane 13. Nøgletal'!C11)</f>
        <v>6425558.1374739502</v>
      </c>
      <c r="H23" s="14" t="s">
        <v>3</v>
      </c>
      <c r="I23" s="1"/>
    </row>
    <row r="24" spans="1:9" x14ac:dyDescent="0.25">
      <c r="A24" s="1"/>
      <c r="B24" s="128" t="s">
        <v>47</v>
      </c>
      <c r="C24" s="129"/>
      <c r="D24" s="129"/>
      <c r="E24" s="129"/>
      <c r="F24" s="130"/>
      <c r="G24" s="54">
        <v>0</v>
      </c>
      <c r="H24" s="14" t="s">
        <v>3</v>
      </c>
      <c r="I24" s="1"/>
    </row>
    <row r="25" spans="1:9" x14ac:dyDescent="0.25">
      <c r="A25" s="1"/>
      <c r="B25" s="124" t="s">
        <v>48</v>
      </c>
      <c r="C25" s="125"/>
      <c r="D25" s="125"/>
      <c r="E25" s="125"/>
      <c r="F25" s="126"/>
      <c r="G25" s="54">
        <f>(G23+G24)*'Fane 13. Nøgletal'!C31</f>
        <v>128511.162749479</v>
      </c>
      <c r="H25" s="14" t="s">
        <v>3</v>
      </c>
      <c r="I25" s="1"/>
    </row>
    <row r="26" spans="1:9" x14ac:dyDescent="0.25">
      <c r="A26" s="1"/>
      <c r="B26" s="67"/>
      <c r="C26" s="68"/>
      <c r="D26" s="68"/>
      <c r="E26" s="68"/>
      <c r="F26" s="68"/>
      <c r="G26" s="55"/>
      <c r="H26" s="19"/>
      <c r="I26" s="1"/>
    </row>
    <row r="27" spans="1:9" x14ac:dyDescent="0.25">
      <c r="A27" s="1"/>
      <c r="B27" s="1"/>
      <c r="C27" s="1"/>
      <c r="D27" s="1"/>
      <c r="E27" s="1"/>
      <c r="F27" s="1"/>
      <c r="G27" s="56"/>
      <c r="H27" s="1"/>
      <c r="I27" s="1"/>
    </row>
    <row r="28" spans="1:9" x14ac:dyDescent="0.25">
      <c r="A28" s="1"/>
      <c r="B28" s="121" t="s">
        <v>132</v>
      </c>
      <c r="C28" s="122"/>
      <c r="D28" s="122"/>
      <c r="E28" s="122"/>
      <c r="F28" s="122"/>
      <c r="G28" s="127"/>
      <c r="H28" s="123"/>
      <c r="I28" s="1"/>
    </row>
    <row r="29" spans="1:9" x14ac:dyDescent="0.25">
      <c r="A29" s="1"/>
      <c r="B29" s="124" t="s">
        <v>55</v>
      </c>
      <c r="C29" s="125"/>
      <c r="D29" s="125"/>
      <c r="E29" s="125"/>
      <c r="F29" s="126"/>
      <c r="G29" s="54">
        <f>(G23+G24-G25)*(1+'Fane 13. Nøgletal'!C13)</f>
        <v>6373870.9478161102</v>
      </c>
      <c r="H29" s="14" t="s">
        <v>3</v>
      </c>
      <c r="I29" s="1"/>
    </row>
    <row r="30" spans="1:9" x14ac:dyDescent="0.25">
      <c r="A30" s="1"/>
      <c r="B30" s="124" t="s">
        <v>121</v>
      </c>
      <c r="C30" s="125"/>
      <c r="D30" s="125"/>
      <c r="E30" s="125"/>
      <c r="F30" s="126"/>
      <c r="G30" s="54">
        <v>0</v>
      </c>
      <c r="H30" s="14" t="s">
        <v>3</v>
      </c>
      <c r="I30" s="1"/>
    </row>
    <row r="31" spans="1:9" x14ac:dyDescent="0.25">
      <c r="A31" s="1"/>
      <c r="B31" s="124" t="s">
        <v>126</v>
      </c>
      <c r="C31" s="125"/>
      <c r="D31" s="125"/>
      <c r="E31" s="125"/>
      <c r="F31" s="126"/>
      <c r="G31" s="54">
        <f>(G29+G30)*'Fane 13. Nøgletal'!C31</f>
        <v>127477.4189563222</v>
      </c>
      <c r="H31" s="14" t="s">
        <v>3</v>
      </c>
      <c r="I31" s="1"/>
    </row>
    <row r="32" spans="1:9" x14ac:dyDescent="0.25">
      <c r="A32" s="1"/>
      <c r="B32" s="67"/>
      <c r="C32" s="68"/>
      <c r="D32" s="68"/>
      <c r="E32" s="68"/>
      <c r="F32" s="68"/>
      <c r="G32" s="55"/>
      <c r="H32" s="19"/>
      <c r="I32" s="1"/>
    </row>
    <row r="33" spans="1:9" x14ac:dyDescent="0.25">
      <c r="A33" s="1"/>
      <c r="B33" s="1"/>
      <c r="C33" s="1"/>
      <c r="D33" s="1"/>
      <c r="E33" s="1"/>
      <c r="F33" s="1"/>
      <c r="G33" s="56"/>
      <c r="H33" s="1"/>
      <c r="I33" s="1"/>
    </row>
    <row r="34" spans="1:9" x14ac:dyDescent="0.25">
      <c r="A34" s="1"/>
      <c r="B34" s="121" t="s">
        <v>133</v>
      </c>
      <c r="C34" s="122"/>
      <c r="D34" s="122"/>
      <c r="E34" s="122"/>
      <c r="F34" s="122"/>
      <c r="G34" s="127"/>
      <c r="H34" s="123"/>
      <c r="I34" s="1"/>
    </row>
    <row r="35" spans="1:9" x14ac:dyDescent="0.25">
      <c r="A35" s="1"/>
      <c r="B35" s="124" t="s">
        <v>74</v>
      </c>
      <c r="C35" s="125"/>
      <c r="D35" s="125"/>
      <c r="E35" s="125"/>
      <c r="F35" s="126"/>
      <c r="G35" s="54">
        <f>(G29+G30-G31)*(1+'Fane 13. Nøgletal'!C13)</f>
        <v>6322599.5299118767</v>
      </c>
      <c r="H35" s="14" t="s">
        <v>3</v>
      </c>
      <c r="I35" s="1"/>
    </row>
    <row r="36" spans="1:9" x14ac:dyDescent="0.25">
      <c r="A36" s="1"/>
      <c r="B36" s="124" t="s">
        <v>152</v>
      </c>
      <c r="C36" s="125"/>
      <c r="D36" s="125"/>
      <c r="E36" s="125"/>
      <c r="F36" s="126"/>
      <c r="G36" s="54">
        <f>('Fane 3. Omkostninger i ØR2022'!E10+'Fane 3. Omkostninger i ØR2022'!E12+'Fane 3. Omkostninger i ØR2022'!E14)*(1+'Fane 13. Nøgletal'!C14)</f>
        <v>0</v>
      </c>
      <c r="H36" s="14" t="s">
        <v>3</v>
      </c>
      <c r="I36" s="1"/>
    </row>
    <row r="37" spans="1:9" x14ac:dyDescent="0.25">
      <c r="A37" s="1"/>
      <c r="B37" s="124" t="s">
        <v>134</v>
      </c>
      <c r="C37" s="125"/>
      <c r="D37" s="125"/>
      <c r="E37" s="125"/>
      <c r="F37" s="126"/>
      <c r="G37" s="54">
        <f>(G35+G36)*'Fane 13. Nøgletal'!C31</f>
        <v>126451.99059823753</v>
      </c>
      <c r="H37" s="14" t="s">
        <v>3</v>
      </c>
      <c r="I37" s="1"/>
    </row>
    <row r="38" spans="1:9" x14ac:dyDescent="0.25">
      <c r="A38" s="1"/>
      <c r="B38" s="67"/>
      <c r="C38" s="68"/>
      <c r="D38" s="68"/>
      <c r="E38" s="68"/>
      <c r="F38" s="68"/>
      <c r="G38" s="55"/>
      <c r="H38" s="19"/>
      <c r="I38" s="1"/>
    </row>
    <row r="39" spans="1:9" x14ac:dyDescent="0.25">
      <c r="A39" s="1"/>
      <c r="B39" s="1"/>
      <c r="C39" s="1"/>
      <c r="D39" s="1"/>
      <c r="E39" s="1"/>
      <c r="F39" s="1"/>
      <c r="G39" s="56"/>
      <c r="H39" s="1"/>
      <c r="I39" s="1"/>
    </row>
    <row r="40" spans="1:9" x14ac:dyDescent="0.25">
      <c r="A40" s="1"/>
      <c r="B40" s="121" t="s">
        <v>198</v>
      </c>
      <c r="C40" s="122"/>
      <c r="D40" s="122"/>
      <c r="E40" s="122"/>
      <c r="F40" s="122"/>
      <c r="G40" s="127"/>
      <c r="H40" s="123"/>
      <c r="I40" s="1"/>
    </row>
    <row r="41" spans="1:9" x14ac:dyDescent="0.25">
      <c r="A41" s="1"/>
      <c r="B41" s="124" t="s">
        <v>73</v>
      </c>
      <c r="C41" s="125"/>
      <c r="D41" s="125"/>
      <c r="E41" s="125"/>
      <c r="F41" s="126"/>
      <c r="G41" s="54">
        <f>(G35+G36-G37)*(1+'Fane 13. Nøgletal'!C15)</f>
        <v>6416730.3917132057</v>
      </c>
      <c r="H41" s="14" t="s">
        <v>3</v>
      </c>
      <c r="I41" s="1"/>
    </row>
    <row r="42" spans="1:9" x14ac:dyDescent="0.25">
      <c r="A42" s="1"/>
      <c r="B42" s="124" t="s">
        <v>197</v>
      </c>
      <c r="C42" s="125"/>
      <c r="D42" s="125"/>
      <c r="E42" s="125"/>
      <c r="F42" s="126"/>
      <c r="G42" s="54">
        <f>('Fane 2.1. Økonomisk ramme 2023'!C9+'Fane 2.1. Økonomisk ramme 2023'!C11+'Fane 2.1. Økonomisk ramme 2023'!C13)*(1+'Fane 13. Nøgletal'!C15)</f>
        <v>0</v>
      </c>
      <c r="H42" s="14" t="s">
        <v>3</v>
      </c>
      <c r="I42" s="1"/>
    </row>
    <row r="43" spans="1:9" x14ac:dyDescent="0.25">
      <c r="A43" s="1"/>
      <c r="B43" s="124" t="s">
        <v>208</v>
      </c>
      <c r="C43" s="125"/>
      <c r="D43" s="125"/>
      <c r="E43" s="125"/>
      <c r="F43" s="126"/>
      <c r="G43" s="54">
        <f>(G41+G42)*'Fane 13. Nøgletal'!C31</f>
        <v>128334.60783426411</v>
      </c>
      <c r="H43" s="14" t="s">
        <v>3</v>
      </c>
      <c r="I43" s="1"/>
    </row>
    <row r="44" spans="1:9" x14ac:dyDescent="0.25">
      <c r="A44" s="1"/>
      <c r="B44" s="67"/>
      <c r="C44" s="68"/>
      <c r="D44" s="68"/>
      <c r="E44" s="68"/>
      <c r="F44" s="68"/>
      <c r="G44" s="55"/>
      <c r="H44" s="19"/>
      <c r="I44" s="1"/>
    </row>
    <row r="45" spans="1:9" x14ac:dyDescent="0.25">
      <c r="A45" s="1"/>
      <c r="B45" s="1"/>
      <c r="C45" s="1"/>
      <c r="D45" s="1"/>
      <c r="E45" s="1"/>
      <c r="F45" s="1"/>
      <c r="G45" s="56"/>
      <c r="H45" s="1"/>
      <c r="I45" s="1"/>
    </row>
    <row r="46" spans="1:9" x14ac:dyDescent="0.25">
      <c r="A46" s="1"/>
      <c r="B46" s="121" t="s">
        <v>199</v>
      </c>
      <c r="C46" s="122"/>
      <c r="D46" s="122"/>
      <c r="E46" s="122"/>
      <c r="F46" s="122"/>
      <c r="G46" s="127"/>
      <c r="H46" s="123"/>
      <c r="I46" s="1"/>
    </row>
    <row r="47" spans="1:9" x14ac:dyDescent="0.25">
      <c r="A47" s="1"/>
      <c r="B47" s="124" t="s">
        <v>122</v>
      </c>
      <c r="C47" s="125"/>
      <c r="D47" s="125"/>
      <c r="E47" s="125"/>
      <c r="F47" s="126"/>
      <c r="G47" s="54">
        <f>(G41+G42-G43)*(1+'Fane 13. Nøgletal'!C15)</f>
        <v>6512262.6737850327</v>
      </c>
      <c r="H47" s="14" t="s">
        <v>3</v>
      </c>
      <c r="I47" s="1"/>
    </row>
    <row r="48" spans="1:9" x14ac:dyDescent="0.25">
      <c r="A48" s="1"/>
      <c r="B48" s="124" t="s">
        <v>209</v>
      </c>
      <c r="C48" s="125"/>
      <c r="D48" s="125"/>
      <c r="E48" s="125"/>
      <c r="F48" s="126"/>
      <c r="G48" s="54">
        <f>(G47)*'Fane 13. Nøgletal'!C31</f>
        <v>130245.25347570065</v>
      </c>
      <c r="H48" s="14" t="s">
        <v>3</v>
      </c>
      <c r="I48" s="1"/>
    </row>
    <row r="49" spans="1:9" x14ac:dyDescent="0.25">
      <c r="A49" s="1"/>
      <c r="B49" s="67"/>
      <c r="C49" s="68"/>
      <c r="D49" s="68"/>
      <c r="E49" s="68"/>
      <c r="F49" s="68"/>
      <c r="G49" s="55"/>
      <c r="H49" s="19"/>
      <c r="I49" s="1"/>
    </row>
    <row r="50" spans="1:9" x14ac:dyDescent="0.25">
      <c r="A50" s="1"/>
      <c r="B50" s="1"/>
      <c r="C50" s="1"/>
      <c r="D50" s="1"/>
      <c r="E50" s="1"/>
      <c r="F50" s="1"/>
      <c r="G50" s="56"/>
      <c r="H50" s="1"/>
      <c r="I50" s="1"/>
    </row>
    <row r="51" spans="1:9" x14ac:dyDescent="0.25">
      <c r="A51" s="1"/>
      <c r="B51" s="121" t="s">
        <v>145</v>
      </c>
      <c r="C51" s="122"/>
      <c r="D51" s="122"/>
      <c r="E51" s="122"/>
      <c r="F51" s="122"/>
      <c r="G51" s="127"/>
      <c r="H51" s="123"/>
      <c r="I51" s="1"/>
    </row>
    <row r="52" spans="1:9" x14ac:dyDescent="0.25">
      <c r="A52" s="1"/>
      <c r="B52" s="124" t="s">
        <v>146</v>
      </c>
      <c r="C52" s="125"/>
      <c r="D52" s="125"/>
      <c r="E52" s="125"/>
      <c r="F52" s="126"/>
      <c r="G52" s="54">
        <f>(G47-G48)*(1+'Fane 13. Nøgletal'!C15)</f>
        <v>6609217.2404723447</v>
      </c>
      <c r="H52" s="14" t="s">
        <v>3</v>
      </c>
      <c r="I52" s="1"/>
    </row>
    <row r="53" spans="1:9" x14ac:dyDescent="0.25">
      <c r="A53" s="1"/>
      <c r="B53" s="124" t="s">
        <v>147</v>
      </c>
      <c r="C53" s="125"/>
      <c r="D53" s="125"/>
      <c r="E53" s="125"/>
      <c r="F53" s="126"/>
      <c r="G53" s="54">
        <f>(G52)*'Fane 13. Nøgletal'!C31</f>
        <v>132184.34480944689</v>
      </c>
      <c r="H53" s="14" t="s">
        <v>3</v>
      </c>
      <c r="I53" s="1"/>
    </row>
    <row r="54" spans="1:9" x14ac:dyDescent="0.25">
      <c r="A54" s="1"/>
      <c r="B54" s="67"/>
      <c r="C54" s="68"/>
      <c r="D54" s="68"/>
      <c r="E54" s="68"/>
      <c r="F54" s="68"/>
      <c r="G54" s="55"/>
      <c r="H54" s="19"/>
      <c r="I54" s="1"/>
    </row>
    <row r="55" spans="1:9" x14ac:dyDescent="0.25">
      <c r="A55" s="1"/>
      <c r="B55" s="1"/>
      <c r="C55" s="1"/>
      <c r="D55" s="1"/>
      <c r="E55" s="1"/>
      <c r="F55" s="1"/>
      <c r="G55" s="56"/>
      <c r="H55" s="1"/>
      <c r="I55" s="1"/>
    </row>
    <row r="56" spans="1:9" x14ac:dyDescent="0.25">
      <c r="A56" s="1"/>
      <c r="B56" s="121" t="s">
        <v>174</v>
      </c>
      <c r="C56" s="122"/>
      <c r="D56" s="122"/>
      <c r="E56" s="122"/>
      <c r="F56" s="122"/>
      <c r="G56" s="127"/>
      <c r="H56" s="123"/>
      <c r="I56" s="1"/>
    </row>
    <row r="57" spans="1:9" x14ac:dyDescent="0.25">
      <c r="A57" s="1"/>
      <c r="B57" s="124" t="s">
        <v>175</v>
      </c>
      <c r="C57" s="125"/>
      <c r="D57" s="125"/>
      <c r="E57" s="125"/>
      <c r="F57" s="126"/>
      <c r="G57" s="54">
        <f>(G52-G53)*(1+'Fane 13. Nøgletal'!C15)</f>
        <v>6707615.2667484982</v>
      </c>
      <c r="H57" s="14" t="s">
        <v>3</v>
      </c>
      <c r="I57" s="1"/>
    </row>
    <row r="58" spans="1:9" x14ac:dyDescent="0.25">
      <c r="A58" s="1"/>
      <c r="B58" s="124" t="s">
        <v>176</v>
      </c>
      <c r="C58" s="125"/>
      <c r="D58" s="125"/>
      <c r="E58" s="125"/>
      <c r="F58" s="126"/>
      <c r="G58" s="54">
        <f>(G57)*'Fane 13. Nøgletal'!C31</f>
        <v>134152.30533496998</v>
      </c>
      <c r="H58" s="14" t="s">
        <v>3</v>
      </c>
      <c r="I58" s="1"/>
    </row>
    <row r="59" spans="1:9" x14ac:dyDescent="0.25">
      <c r="A59" s="1"/>
      <c r="B59" s="67"/>
      <c r="C59" s="68"/>
      <c r="D59" s="68"/>
      <c r="E59" s="68"/>
      <c r="F59" s="68"/>
      <c r="G59" s="37"/>
      <c r="H59" s="19"/>
      <c r="I59" s="1"/>
    </row>
    <row r="60" spans="1:9" x14ac:dyDescent="0.25">
      <c r="A60" s="1"/>
      <c r="B60" s="1"/>
      <c r="C60" s="1"/>
      <c r="D60" s="1"/>
      <c r="E60" s="1"/>
      <c r="F60" s="1"/>
      <c r="G60" s="38"/>
      <c r="H60" s="1"/>
      <c r="I60" s="1"/>
    </row>
    <row r="61" spans="1:9" x14ac:dyDescent="0.25">
      <c r="A61" s="1"/>
      <c r="B61" s="1"/>
      <c r="C61" s="1"/>
      <c r="D61" s="1"/>
      <c r="E61" s="1"/>
      <c r="F61" s="1"/>
      <c r="G61" s="38"/>
      <c r="H61" s="1"/>
      <c r="I61" s="1"/>
    </row>
    <row r="62" spans="1:9" x14ac:dyDescent="0.25">
      <c r="A62" s="1"/>
      <c r="B62" s="1"/>
      <c r="C62" s="1"/>
      <c r="D62" s="1"/>
      <c r="E62" s="1"/>
      <c r="F62" s="1"/>
      <c r="G62" s="38"/>
      <c r="H62" s="1"/>
      <c r="I62" s="1"/>
    </row>
    <row r="63" spans="1:9" x14ac:dyDescent="0.25">
      <c r="A63" s="1"/>
      <c r="B63" s="1"/>
      <c r="C63" s="1"/>
      <c r="D63" s="1"/>
      <c r="E63" s="1"/>
      <c r="F63" s="1"/>
      <c r="G63" s="38"/>
      <c r="H63" s="1"/>
      <c r="I63" s="1"/>
    </row>
    <row r="64" spans="1:9" x14ac:dyDescent="0.25">
      <c r="A64" s="1"/>
      <c r="B64" s="1"/>
      <c r="C64" s="1"/>
      <c r="D64" s="1"/>
      <c r="E64" s="1"/>
      <c r="F64" s="1"/>
      <c r="G64" s="38"/>
      <c r="H64" s="1"/>
      <c r="I64" s="1"/>
    </row>
    <row r="65" spans="1:9" x14ac:dyDescent="0.25">
      <c r="A65" s="1"/>
      <c r="B65" s="1"/>
      <c r="C65" s="1"/>
      <c r="D65" s="1"/>
      <c r="E65" s="1"/>
      <c r="F65" s="1"/>
      <c r="G65" s="38"/>
      <c r="H65" s="1"/>
      <c r="I65" s="1"/>
    </row>
  </sheetData>
  <sheetProtection algorithmName="SHA-512" hashValue="CteBQ0gVjU5FR0LXmrjxYkW1gFEZfUrS1z/cE6pxWWiOHY0zhm0kTQ7dt+qS37OVHhUA71j30mjrNLgbKBOETg==" saltValue="wIaRkXlmfZ8j/3LY4JR5KA=="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5.28515625" style="2" customWidth="1"/>
    <col min="2" max="5" width="9" style="2"/>
    <col min="6" max="6" width="26.28515625" style="2" customWidth="1"/>
    <col min="7" max="7" width="10.28515625" style="2" customWidth="1"/>
    <col min="8" max="8" width="2.85546875" style="2" bestFit="1" customWidth="1"/>
    <col min="9" max="9" width="5.28515625" style="2" customWidth="1"/>
    <col min="10" max="16384" width="9" style="2"/>
  </cols>
  <sheetData>
    <row r="1" spans="1:9" x14ac:dyDescent="0.25">
      <c r="A1" s="1"/>
      <c r="B1" s="131" t="s">
        <v>99</v>
      </c>
      <c r="C1" s="132"/>
      <c r="D1" s="132"/>
      <c r="E1" s="132"/>
      <c r="F1" s="132"/>
      <c r="G1" s="132"/>
      <c r="H1" s="132"/>
      <c r="I1" s="1"/>
    </row>
    <row r="2" spans="1:9" ht="19.899999999999999" customHeight="1" x14ac:dyDescent="0.25">
      <c r="A2" s="1"/>
      <c r="B2" s="132"/>
      <c r="C2" s="132"/>
      <c r="D2" s="132"/>
      <c r="E2" s="132"/>
      <c r="F2" s="132"/>
      <c r="G2" s="132"/>
      <c r="H2" s="132"/>
      <c r="I2" s="1"/>
    </row>
    <row r="3" spans="1:9" ht="15" customHeight="1" x14ac:dyDescent="0.25">
      <c r="A3" s="1"/>
      <c r="B3" s="133"/>
      <c r="C3" s="133"/>
      <c r="D3" s="133"/>
      <c r="E3" s="133"/>
      <c r="F3" s="133"/>
      <c r="G3" s="133"/>
      <c r="H3" s="133"/>
      <c r="I3" s="1"/>
    </row>
    <row r="4" spans="1:9" x14ac:dyDescent="0.25">
      <c r="A4" s="1"/>
      <c r="B4" s="121" t="s">
        <v>53</v>
      </c>
      <c r="C4" s="122"/>
      <c r="D4" s="122"/>
      <c r="E4" s="122"/>
      <c r="F4" s="122"/>
      <c r="G4" s="122"/>
      <c r="H4" s="123"/>
      <c r="I4" s="1"/>
    </row>
    <row r="5" spans="1:9" x14ac:dyDescent="0.25">
      <c r="A5" s="1"/>
      <c r="B5" s="124" t="s">
        <v>56</v>
      </c>
      <c r="C5" s="125"/>
      <c r="D5" s="125"/>
      <c r="E5" s="125"/>
      <c r="F5" s="126"/>
      <c r="G5" s="54">
        <v>4934732.160847106</v>
      </c>
      <c r="H5" s="14" t="s">
        <v>3</v>
      </c>
      <c r="I5" s="1"/>
    </row>
    <row r="6" spans="1:9" x14ac:dyDescent="0.25">
      <c r="A6" s="1"/>
      <c r="B6" s="124" t="s">
        <v>54</v>
      </c>
      <c r="C6" s="125"/>
      <c r="D6" s="125"/>
      <c r="E6" s="125"/>
      <c r="F6" s="126"/>
      <c r="G6" s="54">
        <f>G5*'Fane 13. Nøgletal'!C20</f>
        <v>44906.062663708668</v>
      </c>
      <c r="H6" s="14" t="s">
        <v>3</v>
      </c>
      <c r="I6" s="1"/>
    </row>
    <row r="7" spans="1:9" x14ac:dyDescent="0.25">
      <c r="A7" s="1"/>
      <c r="B7" s="67"/>
      <c r="C7" s="68"/>
      <c r="D7" s="68"/>
      <c r="E7" s="68"/>
      <c r="F7" s="68"/>
      <c r="G7" s="57"/>
      <c r="H7" s="19"/>
      <c r="I7" s="1"/>
    </row>
    <row r="8" spans="1:9" x14ac:dyDescent="0.25">
      <c r="A8" s="1"/>
      <c r="B8" s="1"/>
      <c r="C8" s="1"/>
      <c r="D8" s="1"/>
      <c r="E8" s="1"/>
      <c r="F8" s="1"/>
      <c r="G8" s="58"/>
      <c r="H8" s="1"/>
      <c r="I8" s="1"/>
    </row>
    <row r="9" spans="1:9" x14ac:dyDescent="0.25">
      <c r="A9" s="1"/>
      <c r="B9" s="121" t="s">
        <v>57</v>
      </c>
      <c r="C9" s="122"/>
      <c r="D9" s="122"/>
      <c r="E9" s="122"/>
      <c r="F9" s="122"/>
      <c r="G9" s="127"/>
      <c r="H9" s="123"/>
      <c r="I9" s="1"/>
    </row>
    <row r="10" spans="1:9" x14ac:dyDescent="0.25">
      <c r="A10" s="1"/>
      <c r="B10" s="124" t="s">
        <v>58</v>
      </c>
      <c r="C10" s="125"/>
      <c r="D10" s="125"/>
      <c r="E10" s="125"/>
      <c r="F10" s="126"/>
      <c r="G10" s="54">
        <f>(G5-G6)*(1+'Fane 13. Nøgletal'!C9)</f>
        <v>4951926.8896303261</v>
      </c>
      <c r="H10" s="14" t="s">
        <v>3</v>
      </c>
      <c r="I10" s="1"/>
    </row>
    <row r="11" spans="1:9" x14ac:dyDescent="0.25">
      <c r="A11" s="1"/>
      <c r="B11" s="128" t="s">
        <v>59</v>
      </c>
      <c r="C11" s="129"/>
      <c r="D11" s="129"/>
      <c r="E11" s="129"/>
      <c r="F11" s="130"/>
      <c r="G11" s="59">
        <v>0</v>
      </c>
      <c r="H11" s="14" t="s">
        <v>3</v>
      </c>
      <c r="I11" s="1"/>
    </row>
    <row r="12" spans="1:9" x14ac:dyDescent="0.25">
      <c r="A12" s="1"/>
      <c r="B12" s="124" t="s">
        <v>60</v>
      </c>
      <c r="C12" s="125"/>
      <c r="D12" s="125"/>
      <c r="E12" s="125"/>
      <c r="F12" s="126"/>
      <c r="G12" s="54">
        <f>G10*'Fane 13. Nøgletal'!C20+G11*'Fane 13. Nøgletal'!C21</f>
        <v>45062.534695635972</v>
      </c>
      <c r="H12" s="14" t="s">
        <v>3</v>
      </c>
      <c r="I12" s="1"/>
    </row>
    <row r="13" spans="1:9" x14ac:dyDescent="0.25">
      <c r="A13" s="1"/>
      <c r="B13" s="67"/>
      <c r="C13" s="68"/>
      <c r="D13" s="68"/>
      <c r="E13" s="68"/>
      <c r="F13" s="68"/>
      <c r="G13" s="57"/>
      <c r="H13" s="19"/>
      <c r="I13" s="1"/>
    </row>
    <row r="14" spans="1:9" x14ac:dyDescent="0.25">
      <c r="A14" s="1"/>
      <c r="B14" s="1"/>
      <c r="C14" s="1"/>
      <c r="D14" s="1"/>
      <c r="E14" s="1"/>
      <c r="F14" s="1"/>
      <c r="G14" s="58"/>
      <c r="H14" s="1"/>
      <c r="I14" s="1"/>
    </row>
    <row r="15" spans="1:9" x14ac:dyDescent="0.25">
      <c r="A15" s="1"/>
      <c r="B15" s="121" t="s">
        <v>61</v>
      </c>
      <c r="C15" s="122"/>
      <c r="D15" s="122"/>
      <c r="E15" s="122"/>
      <c r="F15" s="122"/>
      <c r="G15" s="127"/>
      <c r="H15" s="123"/>
      <c r="I15" s="1"/>
    </row>
    <row r="16" spans="1:9" x14ac:dyDescent="0.25">
      <c r="A16" s="1"/>
      <c r="B16" s="124" t="s">
        <v>62</v>
      </c>
      <c r="C16" s="125"/>
      <c r="D16" s="125"/>
      <c r="E16" s="125"/>
      <c r="F16" s="126"/>
      <c r="G16" s="54">
        <f>(G10+G11-G12)*(1+'Fane 13. Nøgletal'!C11)</f>
        <v>4989790.362533086</v>
      </c>
      <c r="H16" s="14" t="s">
        <v>3</v>
      </c>
      <c r="I16" s="1"/>
    </row>
    <row r="17" spans="1:9" x14ac:dyDescent="0.25">
      <c r="A17" s="1"/>
      <c r="B17" s="124" t="s">
        <v>109</v>
      </c>
      <c r="C17" s="125"/>
      <c r="D17" s="125"/>
      <c r="E17" s="125"/>
      <c r="F17" s="126"/>
      <c r="G17" s="54">
        <v>191252.02361122437</v>
      </c>
      <c r="H17" s="14" t="s">
        <v>3</v>
      </c>
      <c r="I17" s="1"/>
    </row>
    <row r="18" spans="1:9" x14ac:dyDescent="0.25">
      <c r="A18" s="1"/>
      <c r="B18" s="128" t="s">
        <v>63</v>
      </c>
      <c r="C18" s="129"/>
      <c r="D18" s="129"/>
      <c r="E18" s="129"/>
      <c r="F18" s="130"/>
      <c r="G18" s="54">
        <v>0</v>
      </c>
      <c r="H18" s="14" t="s">
        <v>3</v>
      </c>
      <c r="I18" s="1"/>
    </row>
    <row r="19" spans="1:9" x14ac:dyDescent="0.25">
      <c r="A19" s="1"/>
      <c r="B19" s="124" t="s">
        <v>64</v>
      </c>
      <c r="C19" s="125"/>
      <c r="D19" s="125"/>
      <c r="E19" s="125"/>
      <c r="F19" s="126"/>
      <c r="G19" s="54">
        <f>(G16+G17+G18)*'Fane 13. Nøgletal'!C22</f>
        <v>45075.068759455498</v>
      </c>
      <c r="H19" s="14" t="s">
        <v>3</v>
      </c>
      <c r="I19" s="1"/>
    </row>
    <row r="20" spans="1:9" x14ac:dyDescent="0.25">
      <c r="A20" s="1"/>
      <c r="B20" s="67"/>
      <c r="C20" s="68"/>
      <c r="D20" s="68"/>
      <c r="E20" s="68"/>
      <c r="F20" s="68"/>
      <c r="G20" s="57"/>
      <c r="H20" s="19"/>
      <c r="I20" s="1"/>
    </row>
    <row r="21" spans="1:9" x14ac:dyDescent="0.25">
      <c r="A21" s="1"/>
      <c r="B21" s="1"/>
      <c r="C21" s="1"/>
      <c r="D21" s="1"/>
      <c r="E21" s="1"/>
      <c r="F21" s="1"/>
      <c r="G21" s="58"/>
      <c r="H21" s="1"/>
      <c r="I21" s="1"/>
    </row>
    <row r="22" spans="1:9" x14ac:dyDescent="0.25">
      <c r="A22" s="1"/>
      <c r="B22" s="121" t="s">
        <v>65</v>
      </c>
      <c r="C22" s="122"/>
      <c r="D22" s="122"/>
      <c r="E22" s="122"/>
      <c r="F22" s="122"/>
      <c r="G22" s="127"/>
      <c r="H22" s="123"/>
      <c r="I22" s="1"/>
    </row>
    <row r="23" spans="1:9" x14ac:dyDescent="0.25">
      <c r="A23" s="1"/>
      <c r="B23" s="124" t="s">
        <v>66</v>
      </c>
      <c r="C23" s="125"/>
      <c r="D23" s="125"/>
      <c r="E23" s="125"/>
      <c r="F23" s="126"/>
      <c r="G23" s="54">
        <f>(SUM(G16:G18)-G19)*(1+'Fane 13. Nøgletal'!C11)</f>
        <v>5222765.1650486588</v>
      </c>
      <c r="H23" s="14" t="s">
        <v>3</v>
      </c>
      <c r="I23" s="1"/>
    </row>
    <row r="24" spans="1:9" x14ac:dyDescent="0.25">
      <c r="A24" s="1"/>
      <c r="B24" s="128" t="s">
        <v>67</v>
      </c>
      <c r="C24" s="129"/>
      <c r="D24" s="129"/>
      <c r="E24" s="129"/>
      <c r="F24" s="130"/>
      <c r="G24" s="54">
        <v>0</v>
      </c>
      <c r="H24" s="14" t="s">
        <v>3</v>
      </c>
      <c r="I24" s="1"/>
    </row>
    <row r="25" spans="1:9" x14ac:dyDescent="0.25">
      <c r="A25" s="1"/>
      <c r="B25" s="124" t="s">
        <v>68</v>
      </c>
      <c r="C25" s="125"/>
      <c r="D25" s="125"/>
      <c r="E25" s="125"/>
      <c r="F25" s="126"/>
      <c r="G25" s="54">
        <f>G23*'Fane 13. Nøgletal'!C22+G24*'Fane 13. Nøgletal'!C23</f>
        <v>45438.056935923327</v>
      </c>
      <c r="H25" s="14" t="s">
        <v>3</v>
      </c>
      <c r="I25" s="1"/>
    </row>
    <row r="26" spans="1:9" x14ac:dyDescent="0.25">
      <c r="A26" s="1"/>
      <c r="B26" s="67"/>
      <c r="C26" s="68"/>
      <c r="D26" s="68"/>
      <c r="E26" s="68"/>
      <c r="F26" s="68"/>
      <c r="G26" s="57"/>
      <c r="H26" s="19"/>
      <c r="I26" s="1"/>
    </row>
    <row r="27" spans="1:9" x14ac:dyDescent="0.25">
      <c r="A27" s="1"/>
      <c r="B27" s="1"/>
      <c r="C27" s="1"/>
      <c r="D27" s="1"/>
      <c r="E27" s="1"/>
      <c r="F27" s="1"/>
      <c r="G27" s="58"/>
      <c r="H27" s="1"/>
      <c r="I27" s="1"/>
    </row>
    <row r="28" spans="1:9" x14ac:dyDescent="0.25">
      <c r="A28" s="1"/>
      <c r="B28" s="121" t="s">
        <v>130</v>
      </c>
      <c r="C28" s="122"/>
      <c r="D28" s="122"/>
      <c r="E28" s="122"/>
      <c r="F28" s="122"/>
      <c r="G28" s="127"/>
      <c r="H28" s="123"/>
      <c r="I28" s="1"/>
    </row>
    <row r="29" spans="1:9" x14ac:dyDescent="0.25">
      <c r="A29" s="1"/>
      <c r="B29" s="124" t="s">
        <v>69</v>
      </c>
      <c r="C29" s="125"/>
      <c r="D29" s="125"/>
      <c r="E29" s="125"/>
      <c r="F29" s="126"/>
      <c r="G29" s="54">
        <f>(G23+G24-G25)*(1+'Fane 13. Nøgletal'!C13)</f>
        <v>5240490.4988317108</v>
      </c>
      <c r="H29" s="14" t="s">
        <v>3</v>
      </c>
      <c r="I29" s="1"/>
    </row>
    <row r="30" spans="1:9" x14ac:dyDescent="0.25">
      <c r="A30" s="1"/>
      <c r="B30" s="124" t="s">
        <v>123</v>
      </c>
      <c r="C30" s="125"/>
      <c r="D30" s="125"/>
      <c r="E30" s="125"/>
      <c r="F30" s="126"/>
      <c r="G30" s="54">
        <v>0</v>
      </c>
      <c r="H30" s="14" t="s">
        <v>3</v>
      </c>
      <c r="I30" s="1"/>
    </row>
    <row r="31" spans="1:9" x14ac:dyDescent="0.25">
      <c r="A31" s="1"/>
      <c r="B31" s="124" t="s">
        <v>131</v>
      </c>
      <c r="C31" s="125"/>
      <c r="D31" s="125"/>
      <c r="E31" s="125"/>
      <c r="F31" s="126"/>
      <c r="G31" s="54">
        <f>(G29+G30)*'Fane 13. Nøgletal'!C24</f>
        <v>144113.48871787204</v>
      </c>
      <c r="H31" s="14" t="s">
        <v>3</v>
      </c>
      <c r="I31" s="1"/>
    </row>
    <row r="32" spans="1:9" x14ac:dyDescent="0.25">
      <c r="A32" s="1"/>
      <c r="B32" s="67"/>
      <c r="C32" s="68"/>
      <c r="D32" s="68"/>
      <c r="E32" s="68"/>
      <c r="F32" s="68"/>
      <c r="G32" s="57"/>
      <c r="H32" s="19"/>
      <c r="I32" s="1"/>
    </row>
    <row r="33" spans="1:9" x14ac:dyDescent="0.25">
      <c r="A33" s="1"/>
      <c r="B33" s="1"/>
      <c r="C33" s="1"/>
      <c r="D33" s="1"/>
      <c r="E33" s="1"/>
      <c r="F33" s="1"/>
      <c r="G33" s="58"/>
      <c r="H33" s="1"/>
      <c r="I33" s="1"/>
    </row>
    <row r="34" spans="1:9" x14ac:dyDescent="0.25">
      <c r="A34" s="1"/>
      <c r="B34" s="121" t="s">
        <v>135</v>
      </c>
      <c r="C34" s="122"/>
      <c r="D34" s="122"/>
      <c r="E34" s="122"/>
      <c r="F34" s="122"/>
      <c r="G34" s="127"/>
      <c r="H34" s="123"/>
      <c r="I34" s="1"/>
    </row>
    <row r="35" spans="1:9" x14ac:dyDescent="0.25">
      <c r="A35" s="1"/>
      <c r="B35" s="124" t="s">
        <v>72</v>
      </c>
      <c r="C35" s="125"/>
      <c r="D35" s="125"/>
      <c r="E35" s="125"/>
      <c r="F35" s="126"/>
      <c r="G35" s="54">
        <f>(G29+G30-G31)*(1+'Fane 13. Nøgletal'!C13)</f>
        <v>5158552.809637228</v>
      </c>
      <c r="H35" s="14" t="s">
        <v>3</v>
      </c>
      <c r="I35" s="1"/>
    </row>
    <row r="36" spans="1:9" x14ac:dyDescent="0.25">
      <c r="A36" s="1"/>
      <c r="B36" s="124" t="s">
        <v>141</v>
      </c>
      <c r="C36" s="125"/>
      <c r="D36" s="125"/>
      <c r="E36" s="125"/>
      <c r="F36" s="126"/>
      <c r="G36" s="54">
        <f>SUM('Fane 3. Omkostninger i ØR2022'!E11)*(1+'Fane 13. Nøgletal'!C14)</f>
        <v>0</v>
      </c>
      <c r="H36" s="14" t="s">
        <v>3</v>
      </c>
      <c r="I36" s="1"/>
    </row>
    <row r="37" spans="1:9" x14ac:dyDescent="0.25">
      <c r="A37" s="1"/>
      <c r="B37" s="124" t="s">
        <v>136</v>
      </c>
      <c r="C37" s="125"/>
      <c r="D37" s="125"/>
      <c r="E37" s="125"/>
      <c r="F37" s="126"/>
      <c r="G37" s="54">
        <f>G35*'Fane 13. Nøgletal'!C24+G36*'Fane 13. Nøgletal'!C25</f>
        <v>141860.20226502378</v>
      </c>
      <c r="H37" s="14" t="s">
        <v>3</v>
      </c>
      <c r="I37" s="1"/>
    </row>
    <row r="38" spans="1:9" x14ac:dyDescent="0.25">
      <c r="A38" s="1"/>
      <c r="B38" s="67"/>
      <c r="C38" s="68"/>
      <c r="D38" s="68"/>
      <c r="E38" s="68"/>
      <c r="F38" s="68"/>
      <c r="G38" s="57"/>
      <c r="H38" s="19"/>
      <c r="I38" s="1"/>
    </row>
    <row r="39" spans="1:9" x14ac:dyDescent="0.25">
      <c r="A39" s="1"/>
      <c r="B39" s="1"/>
      <c r="C39" s="1"/>
      <c r="D39" s="1"/>
      <c r="E39" s="1"/>
      <c r="F39" s="1"/>
      <c r="G39" s="58"/>
      <c r="H39" s="1"/>
      <c r="I39" s="1"/>
    </row>
    <row r="40" spans="1:9" x14ac:dyDescent="0.25">
      <c r="A40" s="1"/>
      <c r="B40" s="121" t="s">
        <v>200</v>
      </c>
      <c r="C40" s="122"/>
      <c r="D40" s="122"/>
      <c r="E40" s="122"/>
      <c r="F40" s="122"/>
      <c r="G40" s="127"/>
      <c r="H40" s="123"/>
      <c r="I40" s="1"/>
    </row>
    <row r="41" spans="1:9" x14ac:dyDescent="0.25">
      <c r="A41" s="1"/>
      <c r="B41" s="124" t="s">
        <v>71</v>
      </c>
      <c r="C41" s="125"/>
      <c r="D41" s="125"/>
      <c r="E41" s="125"/>
      <c r="F41" s="126"/>
      <c r="G41" s="54">
        <f>(G35+G36-G37)*(1+'Fane 13. Nøgletal'!C15)</f>
        <v>5195286.8641946549</v>
      </c>
      <c r="H41" s="14" t="s">
        <v>3</v>
      </c>
      <c r="I41" s="1"/>
    </row>
    <row r="42" spans="1:9" x14ac:dyDescent="0.25">
      <c r="A42" s="1"/>
      <c r="B42" s="124" t="s">
        <v>211</v>
      </c>
      <c r="C42" s="125"/>
      <c r="D42" s="125"/>
      <c r="E42" s="125"/>
      <c r="F42" s="126"/>
      <c r="G42" s="59">
        <f>SUM('Fane 2.1. Økonomisk ramme 2023'!C10+'Fane 2.1. Økonomisk ramme 2023'!C12+'Fane 2.1. Økonomisk ramme 2023'!C14)*(1+'Fane 13. Nøgletal'!C15)</f>
        <v>0</v>
      </c>
      <c r="H42" s="14" t="s">
        <v>3</v>
      </c>
      <c r="I42" s="1"/>
    </row>
    <row r="43" spans="1:9" x14ac:dyDescent="0.25">
      <c r="A43" s="1"/>
      <c r="B43" s="124" t="s">
        <v>70</v>
      </c>
      <c r="C43" s="125"/>
      <c r="D43" s="125"/>
      <c r="E43" s="125"/>
      <c r="F43" s="126"/>
      <c r="G43" s="54">
        <f>(G41+G42)*'Fane 13. Nøgletal'!C26</f>
        <v>0</v>
      </c>
      <c r="H43" s="14" t="s">
        <v>3</v>
      </c>
      <c r="I43" s="1"/>
    </row>
    <row r="44" spans="1:9" x14ac:dyDescent="0.25">
      <c r="A44" s="1"/>
      <c r="B44" s="67"/>
      <c r="C44" s="68"/>
      <c r="D44" s="68"/>
      <c r="E44" s="68"/>
      <c r="F44" s="68"/>
      <c r="G44" s="57"/>
      <c r="H44" s="19"/>
      <c r="I44" s="1"/>
    </row>
    <row r="45" spans="1:9" ht="12" customHeight="1" x14ac:dyDescent="0.25">
      <c r="A45" s="1"/>
      <c r="B45" s="1"/>
      <c r="C45" s="1"/>
      <c r="D45" s="1"/>
      <c r="E45" s="1"/>
      <c r="F45" s="1"/>
      <c r="G45" s="58"/>
      <c r="H45" s="1"/>
      <c r="I45" s="1"/>
    </row>
    <row r="46" spans="1:9" x14ac:dyDescent="0.25">
      <c r="A46" s="1"/>
      <c r="B46" s="121" t="s">
        <v>201</v>
      </c>
      <c r="C46" s="122"/>
      <c r="D46" s="122"/>
      <c r="E46" s="122"/>
      <c r="F46" s="122"/>
      <c r="G46" s="127"/>
      <c r="H46" s="123"/>
      <c r="I46" s="1"/>
    </row>
    <row r="47" spans="1:9" x14ac:dyDescent="0.25">
      <c r="A47" s="1"/>
      <c r="B47" s="124" t="s">
        <v>124</v>
      </c>
      <c r="C47" s="125"/>
      <c r="D47" s="125"/>
      <c r="E47" s="125"/>
      <c r="F47" s="126"/>
      <c r="G47" s="54">
        <f>(G41+G42-G43)*(1+'Fane 13. Nøgletal'!C15)</f>
        <v>5380239.0765599851</v>
      </c>
      <c r="H47" s="14" t="s">
        <v>3</v>
      </c>
      <c r="I47" s="1"/>
    </row>
    <row r="48" spans="1:9" x14ac:dyDescent="0.25">
      <c r="A48" s="1"/>
      <c r="B48" s="124" t="s">
        <v>125</v>
      </c>
      <c r="C48" s="125"/>
      <c r="D48" s="125"/>
      <c r="E48" s="125"/>
      <c r="F48" s="126"/>
      <c r="G48" s="54">
        <f>(G47)*'Fane 13. Nøgletal'!C26</f>
        <v>0</v>
      </c>
      <c r="H48" s="14" t="s">
        <v>3</v>
      </c>
      <c r="I48" s="1"/>
    </row>
    <row r="49" spans="1:9" x14ac:dyDescent="0.25">
      <c r="A49" s="1"/>
      <c r="B49" s="67"/>
      <c r="C49" s="68"/>
      <c r="D49" s="68"/>
      <c r="E49" s="68"/>
      <c r="F49" s="68"/>
      <c r="G49" s="57"/>
      <c r="H49" s="19"/>
      <c r="I49" s="1"/>
    </row>
    <row r="50" spans="1:9" x14ac:dyDescent="0.25">
      <c r="A50" s="1"/>
      <c r="B50" s="1"/>
      <c r="C50" s="1"/>
      <c r="D50" s="1"/>
      <c r="E50" s="1"/>
      <c r="F50" s="1"/>
      <c r="G50" s="58"/>
      <c r="H50" s="1"/>
      <c r="I50" s="1"/>
    </row>
    <row r="51" spans="1:9" x14ac:dyDescent="0.25">
      <c r="A51" s="1"/>
      <c r="B51" s="121" t="s">
        <v>142</v>
      </c>
      <c r="C51" s="122"/>
      <c r="D51" s="122"/>
      <c r="E51" s="122"/>
      <c r="F51" s="122"/>
      <c r="G51" s="127"/>
      <c r="H51" s="123"/>
      <c r="I51" s="1"/>
    </row>
    <row r="52" spans="1:9" x14ac:dyDescent="0.25">
      <c r="A52" s="1"/>
      <c r="B52" s="124" t="s">
        <v>143</v>
      </c>
      <c r="C52" s="125"/>
      <c r="D52" s="125"/>
      <c r="E52" s="125"/>
      <c r="F52" s="126"/>
      <c r="G52" s="54">
        <f>(G47-G48)*(1+'Fane 13. Nøgletal'!C15)</f>
        <v>5571775.5876855208</v>
      </c>
      <c r="H52" s="14" t="s">
        <v>3</v>
      </c>
      <c r="I52" s="1"/>
    </row>
    <row r="53" spans="1:9" x14ac:dyDescent="0.25">
      <c r="A53" s="1"/>
      <c r="B53" s="124" t="s">
        <v>144</v>
      </c>
      <c r="C53" s="125"/>
      <c r="D53" s="125"/>
      <c r="E53" s="125"/>
      <c r="F53" s="126"/>
      <c r="G53" s="54">
        <f>(G52)*'Fane 13. Nøgletal'!C26</f>
        <v>0</v>
      </c>
      <c r="H53" s="14" t="s">
        <v>3</v>
      </c>
      <c r="I53" s="1"/>
    </row>
    <row r="54" spans="1:9" x14ac:dyDescent="0.25">
      <c r="A54" s="1"/>
      <c r="B54" s="67"/>
      <c r="C54" s="68"/>
      <c r="D54" s="68"/>
      <c r="E54" s="68"/>
      <c r="F54" s="68"/>
      <c r="G54" s="57"/>
      <c r="H54" s="19"/>
      <c r="I54" s="1"/>
    </row>
    <row r="55" spans="1:9" x14ac:dyDescent="0.25">
      <c r="A55" s="1"/>
      <c r="B55" s="1"/>
      <c r="C55" s="1"/>
      <c r="D55" s="1"/>
      <c r="E55" s="1"/>
      <c r="F55" s="1"/>
      <c r="G55" s="58"/>
      <c r="H55" s="1"/>
      <c r="I55" s="1"/>
    </row>
    <row r="56" spans="1:9" x14ac:dyDescent="0.25">
      <c r="A56" s="1"/>
      <c r="B56" s="121" t="s">
        <v>177</v>
      </c>
      <c r="C56" s="122"/>
      <c r="D56" s="122"/>
      <c r="E56" s="122"/>
      <c r="F56" s="122"/>
      <c r="G56" s="127"/>
      <c r="H56" s="123"/>
      <c r="I56" s="1"/>
    </row>
    <row r="57" spans="1:9" x14ac:dyDescent="0.25">
      <c r="A57" s="1"/>
      <c r="B57" s="124" t="s">
        <v>178</v>
      </c>
      <c r="C57" s="125"/>
      <c r="D57" s="125"/>
      <c r="E57" s="125"/>
      <c r="F57" s="126"/>
      <c r="G57" s="54">
        <f>(G52-G53)*(1+'Fane 13. Nøgletal'!C15)</f>
        <v>5770130.7986071259</v>
      </c>
      <c r="H57" s="14" t="s">
        <v>3</v>
      </c>
      <c r="I57" s="1"/>
    </row>
    <row r="58" spans="1:9" x14ac:dyDescent="0.25">
      <c r="A58" s="1"/>
      <c r="B58" s="124" t="s">
        <v>179</v>
      </c>
      <c r="C58" s="125"/>
      <c r="D58" s="125"/>
      <c r="E58" s="125"/>
      <c r="F58" s="126"/>
      <c r="G58" s="54">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QwLkVp+ef8R+s1hfh0Dnt2sduXdOs7tZ0AX7yxUqy8/lRYNeQYANDVuiyQbuQ9TdggujxKjY2fxhiGaVUTl1+A==" saltValue="sBIAl5NGKhPYXVHZGeQWsQ=="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82</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1" t="s">
        <v>9</v>
      </c>
      <c r="C8" s="122"/>
      <c r="D8" s="122"/>
      <c r="E8" s="122"/>
      <c r="F8" s="122"/>
      <c r="G8" s="122"/>
      <c r="H8" s="1"/>
    </row>
    <row r="9" spans="1:8" x14ac:dyDescent="0.25">
      <c r="A9" s="1"/>
      <c r="B9" s="72" t="s">
        <v>180</v>
      </c>
      <c r="C9" s="73"/>
      <c r="D9" s="73"/>
      <c r="E9" s="73"/>
      <c r="F9" s="74"/>
      <c r="G9" s="28">
        <v>8.4402812604091795E-3</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4" t="s">
        <v>202</v>
      </c>
      <c r="C12" s="134"/>
      <c r="D12" s="134"/>
      <c r="E12" s="134"/>
      <c r="F12" s="134"/>
      <c r="G12" s="13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kDIgYU5vfexUKFBDb0ryXDIQ80Ce/+4CEKLezV0UuwwD2Sgo6EkYlmA5+15OajkQy115+LUnD4zeNprYEi4OSw==" saltValue="muqNt2KTUUXluzzXFzyW8g=="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2022-12-01T09:11:52Z</dcterms:modified>
</cp:coreProperties>
</file>