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ovafos Vand Frederikssund AS (V05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7" i="19" l="1"/>
  <c r="E39" i="32" l="1"/>
  <c r="G20" i="11" l="1"/>
  <c r="E20" i="11"/>
  <c r="E11" i="11"/>
  <c r="E12" i="11"/>
  <c r="E13" i="11"/>
  <c r="E14" i="11"/>
  <c r="E15" i="11"/>
  <c r="E16" i="11"/>
  <c r="E17" i="11"/>
  <c r="E33" i="32" l="1"/>
  <c r="E41" i="32" s="1"/>
  <c r="E16" i="27" l="1"/>
  <c r="E18" i="11" l="1"/>
  <c r="E19" i="11"/>
  <c r="E10" i="1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20" i="11"/>
  <c r="C10" i="37" s="1"/>
  <c r="C12" i="37" s="1"/>
  <c r="C13" i="37" l="1"/>
  <c r="C10" i="2" s="1"/>
  <c r="E11" i="21"/>
  <c r="E12" i="21" s="1"/>
  <c r="C11" i="21"/>
  <c r="C12" i="21" s="1"/>
  <c r="E11" i="29"/>
  <c r="E12" i="29" s="1"/>
  <c r="C11" i="29"/>
  <c r="C12" i="29" s="1"/>
  <c r="C18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0" i="37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<sst xmlns="http://schemas.openxmlformats.org/spreadsheetml/2006/main" count="623" uniqueCount="264">
  <si>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</si>
  <si>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</si>
  <si>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</si>
  <si>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</si>
  <si>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</si>
  <si>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</si>
  <si>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</si>
  <si>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</si>
  <si>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</si>
  <si>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</si>
  <si>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</si>
  <si>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</si>
  <si>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</si>
  <si>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</si>
  <si>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</si>
  <si>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</si>
  <si>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</si>
  <si>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</si>
  <si>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</si>
  <si>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</si>
  <si>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</si>
  <si>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</si>
  <si>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</si>
  <si>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</si>
  <si>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</si>
  <si>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</si>
  <si>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</si>
  <si>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</si>
  <si>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</si>
  <si>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</si>
  <si>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</si>
  <si>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</si>
  <si>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</si>
  <si>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</si>
  <si>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</si>
  <si>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</si>
  <si>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</si>
  <si>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</si>
  <si>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</si>
  <si>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</si>
  <si>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</si>
  <si>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</si>
  <si>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</si>
  <si>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</si>
  <si>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</si>
  <si>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</si>
  <si>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</si>
  <si>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</si>
  <si>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</si>
  <si>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</si>
  <si>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</si>
  <si>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</si>
  <si>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</si>
  <si>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</si>
  <si>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</si>
  <si>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</si>
  <si>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</si>
  <si>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</si>
  <si>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</si>
  <si>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</si>
  <si>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</si>
  <si>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</si>
  <si>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</si>
  <si>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</si>
  <si>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</si>
  <si>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</si>
  <si>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</si>
  <si>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</si>
  <si>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</si>
  <si>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</si>
  <si>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</si>
  <si>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</si>
  <si>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</si>
  <si>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</si>
  <si>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</si>
  <si>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</si>
  <si>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</si>
  <si>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</si>
  <si>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</si>
  <si>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</si>
  <si>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</si>
  <si>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</si>
  <si>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</si>
  <si>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</si>
  <si>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</si>
  <si>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</si>
  <si>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</si>
  <si>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</si>
  <si>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</si>
  <si>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</si>
  <si>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</si>
  <si>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</si>
  <si>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</si>
  <si>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</si>
  <si>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</si>
  <si>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</si>
  <si>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</si>
  <si>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</si>
  <si>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</si>
  <si>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</si>
  <si>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</si>
  <si>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</si>
  <si>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</si>
  <si>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</si>
  <si>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</si>
  <si>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</si>
  <si>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</si>
  <si>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</si>
  <si>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</si>
  <si>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</si>
  <si>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</si>
  <si>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</si>
  <si>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</si>
  <si>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</si>
  <si>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</si>
  <si>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</si>
  <si>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</si>
  <si>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</si>
  <si>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</si>
  <si>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</si>
  <si>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</si>
  <si>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</si>
  <si>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</si>
  <si>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</si>
  <si>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</si>
  <si>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</si>
  <si>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</si>
  <si>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</si>
  <si>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</si>
  <si>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</si>
  <si>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</si>
  <si>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</si>
  <si>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</si>
  <si>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</si>
  <si>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</si>
  <si>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</si>
  <si>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</si>
  <si>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</si>
  <si>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</si>
  <si>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</si>
  <si>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</si>
  <si>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</si>
  <si>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</si>
  <si>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</si>
  <si>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</si>
  <si>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</si>
  <si>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</si>
  <si>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</si>
  <si>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</si>
  <si>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</si>
  <si>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</si>
  <si>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</si>
  <si>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</si>
  <si>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</si>
  <si>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</si>
  <si>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</si>
  <si>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</si>
  <si>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</si>
  <si>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</si>
  <si>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</si>
  <si>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</si>
  <si>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</si>
  <si>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</si>
  <si>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</si>
  <si>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</si>
  <si>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</si>
  <si>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</si>
  <si>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</si>
  <si>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</si>
  <si>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</si>
  <si>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</si>
  <si>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</si>
  <si>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</si>
  <si>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</si>
  <si>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</si>
  <si>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</si>
  <si>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</si>
  <si>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</si>
  <si>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</si>
  <si>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</si>
  <si>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</si>
  <si>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</si>
  <si>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</si>
  <si>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</si>
  <si>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</si>
  <si>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</si>
  <si>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</si>
  <si>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</si>
  <si>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</si>
  <si>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</si>
  <si>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</si>
  <si>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</si>
  <si>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</si>
  <si>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</si>
  <si>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</si>
  <si>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</si>
  <si>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</si>
  <si>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</si>
  <si>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</si>
  <si>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</si>
  <si>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</si>
  <si>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</si>
  <si>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</si>
  <si>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</si>
  <si>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</si>
  <si>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</si>
  <si>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</si>
  <si>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</si>
  <si>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</si>
  <si>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</si>
  <si>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</si>
  <si>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</si>
  <si>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</si>
  <si>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</si>
  <si>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</si>
  <si>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</si>
  <si>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</si>
  <si>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</si>
  <si>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</si>
  <si>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</si>
  <si>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</si>
  <si>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</si>
  <si>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</si>
  <si>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</si>
  <si>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</si>
  <si>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</si>
  <si>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</si>
  <si>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</si>
  <si>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</si>
  <si>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</si>
  <si>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</si>
  <si>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</si>
  <si>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</si>
  <si>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</si>
  <si>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</si>
  <si>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</si>
  <si>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</si>
  <si>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</si>
  <si>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</si>
  <si>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Ingen tilknyttet virksomhed</t>
  </si>
  <si>
    <t>Ingen bortfald eller nedsættelse</t>
  </si>
  <si>
    <t>Udvidelse af forsyningsområde</t>
  </si>
  <si>
    <t>Ingen engangstillæg</t>
  </si>
  <si>
    <t>Økonomisk ramme for 2024</t>
  </si>
  <si>
    <t>Boring (inkl. etablering, forerør, filter og prøvepumpning)</t>
  </si>
  <si>
    <t>30</t>
  </si>
  <si>
    <t>Råvandsstation komplet montering og boringshus/tørbrønd</t>
  </si>
  <si>
    <t>Elanlæg</t>
  </si>
  <si>
    <t>20</t>
  </si>
  <si>
    <t>Hegn</t>
  </si>
  <si>
    <t>15</t>
  </si>
  <si>
    <t>SRO anlæg</t>
  </si>
  <si>
    <t>10</t>
  </si>
  <si>
    <t>Afregningsmålere, elektroniske, maksimal gennemstrømning &gt; 4 m3/t ≤ 15 m3/t</t>
  </si>
  <si>
    <t>Afregningsmålere, mekaniske</t>
  </si>
  <si>
    <t>8</t>
  </si>
  <si>
    <t>Afregningsmålere, elektroniske, maksimal gennemstrømning ≤ 4 m3/t</t>
  </si>
  <si>
    <t>Ø 50mm &lt; Ledningsnet ≤ Ø110 mm</t>
  </si>
  <si>
    <t>75</t>
  </si>
  <si>
    <t>Ledningsnet ≤ Ø50 mm</t>
  </si>
  <si>
    <t>Yderligere opkrævningsret efter § 17, stk. 10 - 2017</t>
  </si>
  <si>
    <t>Yderligere opkrævningsret efter § 17, stk. 10 - 2018</t>
  </si>
  <si>
    <t>Køb af ydelser og produkter fra andre vandselskaber reguleret af vandsektorloven (Åbjerg Vandværk)</t>
  </si>
  <si>
    <t>Afgift for ledningsført vand (Åbjerg Vandværk)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</si>
</sst>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4" t="s">
        <v>206</v>
      </c>
      <c r="E8" s="64"/>
      <c r="F8" s="64"/>
      <c r="G8" s="64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3" t="s">
        <v>5</v>
      </c>
      <c r="E11" s="63"/>
      <c r="F11" s="63"/>
      <c r="G11" s="63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151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207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40</v>
      </c>
      <c r="D15" s="56" t="s">
        <v>93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41</v>
      </c>
      <c r="D16" s="56" t="s">
        <v>152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150</v>
      </c>
      <c r="D17" s="56" t="s">
        <v>153</v>
      </c>
      <c r="E17" s="57"/>
      <c r="F17" s="57"/>
      <c r="G17" s="58"/>
      <c r="H17" s="1"/>
      <c r="I17" s="1"/>
    </row>
    <row r="18" spans="1:9" x14ac:dyDescent="0.45">
      <c r="A18" s="1"/>
      <c r="B18" s="1"/>
      <c r="C18" s="33" t="s">
        <v>134</v>
      </c>
      <c r="D18" s="65" t="s">
        <v>114</v>
      </c>
      <c r="E18" s="66"/>
      <c r="F18" s="66"/>
      <c r="G18" s="67"/>
      <c r="H18" s="1"/>
      <c r="I18" s="1"/>
    </row>
    <row r="19" spans="1:9" x14ac:dyDescent="0.45">
      <c r="A19" s="1"/>
      <c r="B19" s="1"/>
      <c r="C19" s="33" t="s">
        <v>135</v>
      </c>
      <c r="D19" s="65" t="s">
        <v>115</v>
      </c>
      <c r="E19" s="66"/>
      <c r="F19" s="66"/>
      <c r="G19" s="67"/>
      <c r="H19" s="1"/>
      <c r="I19" s="1"/>
    </row>
    <row r="20" spans="1:9" x14ac:dyDescent="0.45">
      <c r="A20" s="1"/>
      <c r="B20" s="1"/>
      <c r="C20" s="33" t="s">
        <v>7</v>
      </c>
      <c r="D20" s="65" t="s">
        <v>9</v>
      </c>
      <c r="E20" s="66"/>
      <c r="F20" s="66"/>
      <c r="G20" s="67"/>
      <c r="H20" s="1"/>
      <c r="I20" s="1"/>
    </row>
    <row r="21" spans="1:9" x14ac:dyDescent="0.45">
      <c r="A21" s="1"/>
      <c r="B21" s="1"/>
      <c r="C21" s="6" t="s">
        <v>136</v>
      </c>
      <c r="D21" s="71" t="s">
        <v>12</v>
      </c>
      <c r="E21" s="72"/>
      <c r="F21" s="72"/>
      <c r="G21" s="73"/>
      <c r="H21" s="1"/>
      <c r="I21" s="1"/>
    </row>
    <row r="22" spans="1:9" x14ac:dyDescent="0.45">
      <c r="A22" s="1"/>
      <c r="B22" s="1"/>
      <c r="C22" s="6" t="s">
        <v>97</v>
      </c>
      <c r="D22" s="60" t="s">
        <v>154</v>
      </c>
      <c r="E22" s="61"/>
      <c r="F22" s="61"/>
      <c r="G22" s="62"/>
      <c r="H22" s="1"/>
      <c r="I22" s="1"/>
    </row>
    <row r="23" spans="1:9" x14ac:dyDescent="0.45">
      <c r="A23" s="1"/>
      <c r="B23" s="1"/>
      <c r="C23" s="6" t="s">
        <v>8</v>
      </c>
      <c r="D23" s="60" t="s">
        <v>42</v>
      </c>
      <c r="E23" s="61"/>
      <c r="F23" s="61"/>
      <c r="G23" s="62"/>
      <c r="H23" s="1"/>
      <c r="I23" s="1"/>
    </row>
    <row r="24" spans="1:9" x14ac:dyDescent="0.45">
      <c r="A24" s="1"/>
      <c r="B24" s="1"/>
      <c r="C24" s="6" t="s">
        <v>217</v>
      </c>
      <c r="D24" s="60" t="s">
        <v>98</v>
      </c>
      <c r="E24" s="61"/>
      <c r="F24" s="61"/>
      <c r="G24" s="62"/>
      <c r="H24" s="1"/>
      <c r="I24" s="1"/>
    </row>
    <row r="25" spans="1:9" x14ac:dyDescent="0.45">
      <c r="A25" s="1"/>
      <c r="B25" s="1"/>
      <c r="C25" s="6" t="s">
        <v>218</v>
      </c>
      <c r="D25" s="60" t="s">
        <v>99</v>
      </c>
      <c r="E25" s="61"/>
      <c r="F25" s="61"/>
      <c r="G25" s="62"/>
      <c r="H25" s="1"/>
      <c r="I25" s="1"/>
    </row>
    <row r="26" spans="1:9" x14ac:dyDescent="0.45">
      <c r="A26" s="1"/>
      <c r="B26" s="1"/>
      <c r="C26" s="6" t="s">
        <v>219</v>
      </c>
      <c r="D26" s="60" t="s">
        <v>155</v>
      </c>
      <c r="E26" s="61"/>
      <c r="F26" s="61"/>
      <c r="G26" s="62"/>
      <c r="H26" s="1"/>
      <c r="I26" s="1"/>
    </row>
    <row r="27" spans="1:9" x14ac:dyDescent="0.45">
      <c r="A27" s="1"/>
      <c r="B27" s="1"/>
      <c r="C27" s="6" t="s">
        <v>137</v>
      </c>
      <c r="D27" s="60" t="s">
        <v>43</v>
      </c>
      <c r="E27" s="61"/>
      <c r="F27" s="61"/>
      <c r="G27" s="62"/>
      <c r="H27" s="1"/>
      <c r="I27" s="1"/>
    </row>
    <row r="28" spans="1:9" x14ac:dyDescent="0.45">
      <c r="A28" s="1"/>
      <c r="B28" s="1"/>
      <c r="C28" s="6" t="s">
        <v>128</v>
      </c>
      <c r="D28" s="68" t="s">
        <v>129</v>
      </c>
      <c r="E28" s="69"/>
      <c r="F28" s="69"/>
      <c r="G28" s="70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4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4" t="s">
        <v>140</v>
      </c>
      <c r="C3" s="74"/>
      <c r="D3" s="74"/>
      <c r="E3" s="1"/>
      <c r="F3" s="1"/>
    </row>
    <row r="4" spans="1:6" ht="15" customHeight="1" x14ac:dyDescent="0.45">
      <c r="A4" s="1"/>
      <c r="B4" s="74"/>
      <c r="C4" s="74"/>
      <c r="D4" s="7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7" t="s">
        <v>168</v>
      </c>
      <c r="C8" s="98"/>
      <c r="D8" s="99"/>
      <c r="E8" s="1"/>
      <c r="F8" s="1"/>
    </row>
    <row r="9" spans="1:6" ht="15" customHeight="1" x14ac:dyDescent="0.45">
      <c r="A9" s="1"/>
      <c r="B9" s="43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52" t="s">
        <v>234</v>
      </c>
      <c r="C10" s="9">
        <v>8339089</v>
      </c>
      <c r="D10" s="14" t="s">
        <v>3</v>
      </c>
      <c r="E10" s="1"/>
      <c r="F10" s="1"/>
    </row>
    <row r="11" spans="1:6" ht="15" customHeight="1" x14ac:dyDescent="0.45">
      <c r="A11" s="1"/>
      <c r="B11" s="52" t="s">
        <v>235</v>
      </c>
      <c r="C11" s="9">
        <v>69109</v>
      </c>
      <c r="D11" s="14" t="s">
        <v>3</v>
      </c>
      <c r="E11" s="1"/>
      <c r="F11" s="1"/>
    </row>
    <row r="12" spans="1:6" x14ac:dyDescent="0.45">
      <c r="A12" s="1"/>
      <c r="B12" s="52" t="s">
        <v>236</v>
      </c>
      <c r="C12" s="9">
        <v>1493</v>
      </c>
      <c r="D12" s="14" t="s">
        <v>3</v>
      </c>
      <c r="E12" s="1"/>
      <c r="F12" s="1"/>
    </row>
    <row r="13" spans="1:6" x14ac:dyDescent="0.45">
      <c r="A13" s="1"/>
      <c r="B13" s="52" t="s">
        <v>237</v>
      </c>
      <c r="C13" s="9">
        <v>18762</v>
      </c>
      <c r="D13" s="14" t="s">
        <v>3</v>
      </c>
      <c r="E13" s="1"/>
      <c r="F13" s="1"/>
    </row>
    <row r="14" spans="1:6" x14ac:dyDescent="0.45">
      <c r="A14" s="1"/>
      <c r="B14" s="52" t="s">
        <v>238</v>
      </c>
      <c r="C14" s="9">
        <v>94398</v>
      </c>
      <c r="D14" s="14" t="s">
        <v>3</v>
      </c>
      <c r="E14" s="1"/>
      <c r="F14" s="1"/>
    </row>
    <row r="15" spans="1:6" x14ac:dyDescent="0.45">
      <c r="A15" s="1"/>
      <c r="B15" s="55" t="s">
        <v>262</v>
      </c>
      <c r="C15" s="9">
        <v>126949</v>
      </c>
      <c r="D15" s="14" t="s">
        <v>3</v>
      </c>
      <c r="E15" s="1"/>
      <c r="F15" s="1"/>
    </row>
    <row r="16" spans="1:6" x14ac:dyDescent="0.45">
      <c r="A16" s="1"/>
      <c r="B16" s="55" t="s">
        <v>263</v>
      </c>
      <c r="C16" s="9">
        <v>159900</v>
      </c>
      <c r="D16" s="14" t="s">
        <v>3</v>
      </c>
      <c r="E16" s="1"/>
      <c r="F16" s="1"/>
    </row>
    <row r="17" spans="1:6" x14ac:dyDescent="0.45">
      <c r="A17" s="1"/>
      <c r="B17" s="48" t="s">
        <v>169</v>
      </c>
      <c r="C17" s="12">
        <f>SUM(C10:C16)</f>
        <v>8809700</v>
      </c>
      <c r="D17" s="13" t="s">
        <v>3</v>
      </c>
      <c r="E17" s="1"/>
      <c r="F17" s="1"/>
    </row>
    <row r="18" spans="1:6" x14ac:dyDescent="0.45">
      <c r="A18" s="1"/>
      <c r="B18" s="48" t="s">
        <v>170</v>
      </c>
      <c r="C18" s="12">
        <f>C17*(1+'Fane 12. Nøgletal'!C13)^2</f>
        <v>9025967.9157480001</v>
      </c>
      <c r="D18" s="13" t="s">
        <v>3</v>
      </c>
      <c r="E18" s="1"/>
      <c r="F18" s="1"/>
    </row>
    <row r="19" spans="1:6" x14ac:dyDescent="0.45">
      <c r="A19" s="1"/>
      <c r="B19" s="16"/>
      <c r="C19" s="15"/>
      <c r="D19" s="15"/>
      <c r="E19" s="1"/>
      <c r="F19" s="1"/>
    </row>
    <row r="20" spans="1:6" x14ac:dyDescent="0.45">
      <c r="A20" s="1"/>
      <c r="B20" s="16"/>
      <c r="C20" s="15"/>
      <c r="D20" s="15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  <row r="53" spans="1:6" x14ac:dyDescent="0.45">
      <c r="A53" s="1"/>
      <c r="B53" s="1"/>
      <c r="C53" s="1"/>
      <c r="D53" s="1"/>
      <c r="E53" s="1"/>
      <c r="F53" s="1"/>
    </row>
    <row r="54" spans="1:6" x14ac:dyDescent="0.45">
      <c r="A54" s="1"/>
      <c r="B54" s="1"/>
      <c r="C54" s="1"/>
      <c r="D54" s="1"/>
      <c r="E54" s="1"/>
      <c r="F54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3" t="s">
        <v>172</v>
      </c>
      <c r="C3" s="93"/>
      <c r="D3" s="93"/>
      <c r="E3" s="93"/>
      <c r="F3" s="93"/>
      <c r="G3" s="1"/>
    </row>
    <row r="4" spans="1:7" ht="15" customHeight="1" x14ac:dyDescent="0.45">
      <c r="A4" s="1"/>
      <c r="B4" s="93"/>
      <c r="C4" s="93"/>
      <c r="D4" s="93"/>
      <c r="E4" s="93"/>
      <c r="F4" s="93"/>
      <c r="G4" s="1"/>
    </row>
    <row r="5" spans="1:7" ht="15" customHeight="1" x14ac:dyDescent="0.45">
      <c r="A5" s="1"/>
      <c r="B5" s="50"/>
      <c r="C5" s="50"/>
      <c r="D5" s="50"/>
      <c r="E5" s="50"/>
      <c r="F5" s="50"/>
      <c r="G5" s="1"/>
    </row>
    <row r="6" spans="1:7" ht="15" customHeight="1" x14ac:dyDescent="0.45">
      <c r="A6" s="1"/>
      <c r="B6" s="97" t="s">
        <v>39</v>
      </c>
      <c r="C6" s="98"/>
      <c r="D6" s="98"/>
      <c r="E6" s="98"/>
      <c r="F6" s="99"/>
      <c r="G6" s="1"/>
    </row>
    <row r="7" spans="1:7" ht="15" customHeight="1" x14ac:dyDescent="0.45">
      <c r="A7" s="1"/>
      <c r="B7" s="100" t="s">
        <v>37</v>
      </c>
      <c r="C7" s="101"/>
      <c r="D7" s="102"/>
      <c r="E7" s="9">
        <v>-989663.31473333342</v>
      </c>
      <c r="F7" s="14" t="s">
        <v>3</v>
      </c>
      <c r="G7" s="1"/>
    </row>
    <row r="8" spans="1:7" ht="15" customHeight="1" x14ac:dyDescent="0.45">
      <c r="A8" s="1"/>
      <c r="B8" s="100" t="s">
        <v>38</v>
      </c>
      <c r="C8" s="101"/>
      <c r="D8" s="102"/>
      <c r="E8" s="9">
        <v>1145947.0410131738</v>
      </c>
      <c r="F8" s="14" t="s">
        <v>3</v>
      </c>
      <c r="G8" s="1"/>
    </row>
    <row r="9" spans="1:7" ht="15" customHeight="1" x14ac:dyDescent="0.45">
      <c r="A9" s="1"/>
      <c r="B9" s="108" t="s">
        <v>131</v>
      </c>
      <c r="C9" s="109"/>
      <c r="D9" s="110"/>
      <c r="E9" s="10">
        <f>SUM(E7:E8)</f>
        <v>156283.72627984034</v>
      </c>
      <c r="F9" s="17" t="s">
        <v>3</v>
      </c>
      <c r="G9" s="1"/>
    </row>
    <row r="10" spans="1:7" ht="15" customHeight="1" x14ac:dyDescent="0.45">
      <c r="A10" s="1"/>
      <c r="B10" s="48"/>
      <c r="C10" s="49"/>
      <c r="D10" s="49"/>
      <c r="E10" s="49"/>
      <c r="F10" s="20"/>
      <c r="G10" s="1"/>
    </row>
    <row r="11" spans="1:7" ht="28.5" customHeight="1" x14ac:dyDescent="0.45">
      <c r="A11" s="1"/>
      <c r="B11" s="76" t="s">
        <v>132</v>
      </c>
      <c r="C11" s="77"/>
      <c r="D11" s="77"/>
      <c r="E11" s="77"/>
      <c r="F11" s="78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7" t="s">
        <v>116</v>
      </c>
      <c r="C13" s="98"/>
      <c r="D13" s="98"/>
      <c r="E13" s="98"/>
      <c r="F13" s="99"/>
      <c r="G13" s="1"/>
    </row>
    <row r="14" spans="1:7" x14ac:dyDescent="0.45">
      <c r="A14" s="1"/>
      <c r="B14" s="100" t="s">
        <v>117</v>
      </c>
      <c r="C14" s="101"/>
      <c r="D14" s="102"/>
      <c r="E14" s="9">
        <v>30399274.911853924</v>
      </c>
      <c r="F14" s="14" t="s">
        <v>3</v>
      </c>
      <c r="G14" s="1"/>
    </row>
    <row r="15" spans="1:7" x14ac:dyDescent="0.45">
      <c r="A15" s="1"/>
      <c r="B15" s="100" t="s">
        <v>118</v>
      </c>
      <c r="C15" s="101"/>
      <c r="D15" s="102"/>
      <c r="E15" s="9">
        <v>27507122</v>
      </c>
      <c r="F15" s="14" t="s">
        <v>3</v>
      </c>
      <c r="G15" s="1"/>
    </row>
    <row r="16" spans="1:7" x14ac:dyDescent="0.45">
      <c r="A16" s="1"/>
      <c r="B16" s="100" t="s">
        <v>36</v>
      </c>
      <c r="C16" s="101"/>
      <c r="D16" s="102"/>
      <c r="E16" s="9">
        <v>0</v>
      </c>
      <c r="F16" s="14" t="s">
        <v>3</v>
      </c>
      <c r="G16" s="1"/>
    </row>
    <row r="17" spans="1:7" x14ac:dyDescent="0.45">
      <c r="A17" s="1"/>
      <c r="B17" s="108" t="s">
        <v>208</v>
      </c>
      <c r="C17" s="109"/>
      <c r="D17" s="110"/>
      <c r="E17" s="10">
        <f>E14-(E15-E16)</f>
        <v>2892152.9118539244</v>
      </c>
      <c r="F17" s="17" t="s">
        <v>3</v>
      </c>
      <c r="G17" s="1"/>
    </row>
    <row r="18" spans="1:7" x14ac:dyDescent="0.45">
      <c r="A18" s="1"/>
      <c r="B18" s="48"/>
      <c r="C18" s="49"/>
      <c r="D18" s="49"/>
      <c r="E18" s="49"/>
      <c r="F18" s="20"/>
      <c r="G18" s="1"/>
    </row>
    <row r="19" spans="1:7" ht="30" customHeight="1" x14ac:dyDescent="0.45">
      <c r="A19" s="1"/>
      <c r="B19" s="76" t="s">
        <v>133</v>
      </c>
      <c r="C19" s="77"/>
      <c r="D19" s="77"/>
      <c r="E19" s="77"/>
      <c r="F19" s="78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7" t="s">
        <v>50</v>
      </c>
      <c r="C21" s="98"/>
      <c r="D21" s="98"/>
      <c r="E21" s="98"/>
      <c r="F21" s="99"/>
      <c r="G21" s="1"/>
    </row>
    <row r="22" spans="1:7" x14ac:dyDescent="0.45">
      <c r="A22" s="1"/>
      <c r="B22" s="100" t="s">
        <v>51</v>
      </c>
      <c r="C22" s="101"/>
      <c r="D22" s="102"/>
      <c r="E22" s="9">
        <v>25894328.249444455</v>
      </c>
      <c r="F22" s="14" t="s">
        <v>3</v>
      </c>
      <c r="G22" s="1"/>
    </row>
    <row r="23" spans="1:7" x14ac:dyDescent="0.45">
      <c r="A23" s="1"/>
      <c r="B23" s="100" t="s">
        <v>52</v>
      </c>
      <c r="C23" s="101"/>
      <c r="D23" s="102"/>
      <c r="E23" s="9">
        <v>26561286</v>
      </c>
      <c r="F23" s="14" t="s">
        <v>3</v>
      </c>
      <c r="G23" s="1"/>
    </row>
    <row r="24" spans="1:7" x14ac:dyDescent="0.45">
      <c r="A24" s="1"/>
      <c r="B24" s="100" t="s">
        <v>36</v>
      </c>
      <c r="C24" s="101"/>
      <c r="D24" s="102"/>
      <c r="E24" s="9">
        <v>0</v>
      </c>
      <c r="F24" s="14" t="s">
        <v>3</v>
      </c>
      <c r="G24" s="1"/>
    </row>
    <row r="25" spans="1:7" x14ac:dyDescent="0.45">
      <c r="A25" s="1"/>
      <c r="B25" s="108" t="s">
        <v>209</v>
      </c>
      <c r="C25" s="109"/>
      <c r="D25" s="110"/>
      <c r="E25" s="10">
        <f>E22-(E23-E24)</f>
        <v>-666957.75055554509</v>
      </c>
      <c r="F25" s="17" t="s">
        <v>3</v>
      </c>
      <c r="G25" s="1"/>
    </row>
    <row r="26" spans="1:7" x14ac:dyDescent="0.45">
      <c r="A26" s="1"/>
      <c r="B26" s="48"/>
      <c r="C26" s="49"/>
      <c r="D26" s="49"/>
      <c r="E26" s="49"/>
      <c r="F26" s="20"/>
      <c r="G26" s="1"/>
    </row>
    <row r="27" spans="1:7" ht="28.5" customHeight="1" x14ac:dyDescent="0.45">
      <c r="A27" s="1"/>
      <c r="B27" s="76" t="s">
        <v>179</v>
      </c>
      <c r="C27" s="77"/>
      <c r="D27" s="77"/>
      <c r="E27" s="77"/>
      <c r="F27" s="78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7" t="s">
        <v>200</v>
      </c>
      <c r="C29" s="98"/>
      <c r="D29" s="98"/>
      <c r="E29" s="98"/>
      <c r="F29" s="99"/>
      <c r="G29" s="1"/>
    </row>
    <row r="30" spans="1:7" x14ac:dyDescent="0.45">
      <c r="A30" s="1"/>
      <c r="B30" s="100" t="s">
        <v>201</v>
      </c>
      <c r="C30" s="101"/>
      <c r="D30" s="102"/>
      <c r="E30" s="9">
        <v>26606992.50132668</v>
      </c>
      <c r="F30" s="14" t="s">
        <v>3</v>
      </c>
      <c r="G30" s="1"/>
    </row>
    <row r="31" spans="1:7" x14ac:dyDescent="0.45">
      <c r="A31" s="1"/>
      <c r="B31" s="100" t="s">
        <v>202</v>
      </c>
      <c r="C31" s="101"/>
      <c r="D31" s="102"/>
      <c r="E31" s="9">
        <v>27381070</v>
      </c>
      <c r="F31" s="14" t="s">
        <v>3</v>
      </c>
      <c r="G31" s="1"/>
    </row>
    <row r="32" spans="1:7" x14ac:dyDescent="0.45">
      <c r="A32" s="1"/>
      <c r="B32" s="100" t="s">
        <v>36</v>
      </c>
      <c r="C32" s="101"/>
      <c r="D32" s="102"/>
      <c r="E32" s="9">
        <v>0</v>
      </c>
      <c r="F32" s="14" t="s">
        <v>3</v>
      </c>
      <c r="G32" s="1"/>
    </row>
    <row r="33" spans="1:7" x14ac:dyDescent="0.45">
      <c r="A33" s="1"/>
      <c r="B33" s="108" t="s">
        <v>210</v>
      </c>
      <c r="C33" s="109"/>
      <c r="D33" s="110"/>
      <c r="E33" s="10">
        <f>E30-(E31-E32)</f>
        <v>-774077.49867331982</v>
      </c>
      <c r="F33" s="17" t="s">
        <v>3</v>
      </c>
      <c r="G33" s="1"/>
    </row>
    <row r="34" spans="1:7" x14ac:dyDescent="0.45">
      <c r="A34" s="1"/>
      <c r="B34" s="48"/>
      <c r="C34" s="49"/>
      <c r="D34" s="49"/>
      <c r="E34" s="49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7" t="s">
        <v>125</v>
      </c>
      <c r="C36" s="98"/>
      <c r="D36" s="98"/>
      <c r="E36" s="98"/>
      <c r="F36" s="99"/>
      <c r="G36" s="1"/>
    </row>
    <row r="37" spans="1:7" x14ac:dyDescent="0.45">
      <c r="A37" s="1"/>
      <c r="B37" s="111" t="s">
        <v>260</v>
      </c>
      <c r="C37" s="112"/>
      <c r="D37" s="113"/>
      <c r="E37" s="9">
        <v>0</v>
      </c>
      <c r="F37" s="14"/>
      <c r="G37" s="1"/>
    </row>
    <row r="38" spans="1:7" x14ac:dyDescent="0.45">
      <c r="A38" s="1"/>
      <c r="B38" s="111" t="s">
        <v>261</v>
      </c>
      <c r="C38" s="112"/>
      <c r="D38" s="113"/>
      <c r="E38" s="9">
        <v>0</v>
      </c>
      <c r="F38" s="14"/>
      <c r="G38" s="1"/>
    </row>
    <row r="39" spans="1:7" x14ac:dyDescent="0.45">
      <c r="A39" s="1"/>
      <c r="B39" s="111" t="s">
        <v>113</v>
      </c>
      <c r="C39" s="112"/>
      <c r="D39" s="113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-774077.49867331982</v>
      </c>
      <c r="F39" s="14" t="s">
        <v>3</v>
      </c>
      <c r="G39" s="1"/>
    </row>
    <row r="40" spans="1:7" x14ac:dyDescent="0.45">
      <c r="A40" s="1"/>
      <c r="B40" s="111" t="s">
        <v>130</v>
      </c>
      <c r="C40" s="112"/>
      <c r="D40" s="113"/>
      <c r="E40" s="9">
        <v>2</v>
      </c>
      <c r="F40" s="14" t="s">
        <v>19</v>
      </c>
      <c r="G40" s="1"/>
    </row>
    <row r="41" spans="1:7" ht="15" customHeight="1" x14ac:dyDescent="0.45">
      <c r="A41" s="1"/>
      <c r="B41" s="114" t="s">
        <v>203</v>
      </c>
      <c r="C41" s="114"/>
      <c r="D41" s="114"/>
      <c r="E41" s="10">
        <f>E39/E40</f>
        <v>-387038.74933665991</v>
      </c>
      <c r="F41" s="17" t="s">
        <v>3</v>
      </c>
      <c r="G41" s="1"/>
    </row>
    <row r="42" spans="1:7" x14ac:dyDescent="0.45">
      <c r="A42" s="1"/>
      <c r="B42" s="97"/>
      <c r="C42" s="98"/>
      <c r="D42" s="98"/>
      <c r="E42" s="98"/>
      <c r="F42" s="99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5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4" t="s">
        <v>216</v>
      </c>
      <c r="C3" s="74"/>
      <c r="D3" s="74"/>
      <c r="E3" s="74"/>
      <c r="F3" s="74"/>
      <c r="G3" s="74"/>
      <c r="H3" s="74"/>
      <c r="I3" s="1"/>
    </row>
    <row r="4" spans="1:9" ht="15" customHeight="1" x14ac:dyDescent="0.4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7" t="s">
        <v>197</v>
      </c>
      <c r="C8" s="98"/>
      <c r="D8" s="98"/>
      <c r="E8" s="98"/>
      <c r="F8" s="98"/>
      <c r="G8" s="98"/>
      <c r="H8" s="99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5"/>
      <c r="I9" s="1"/>
    </row>
    <row r="10" spans="1:9" ht="39.75" x14ac:dyDescent="0.45">
      <c r="A10" s="1"/>
      <c r="B10" s="39" t="s">
        <v>244</v>
      </c>
      <c r="C10" s="40" t="s">
        <v>245</v>
      </c>
      <c r="D10" s="9">
        <v>669828</v>
      </c>
      <c r="E10" s="9">
        <f>IFERROR(D10/C10,0)</f>
        <v>22327.599999999999</v>
      </c>
      <c r="F10" s="9">
        <v>0</v>
      </c>
      <c r="G10" s="9">
        <v>10248.370000000001</v>
      </c>
      <c r="H10" s="14" t="s">
        <v>3</v>
      </c>
      <c r="I10" s="1"/>
    </row>
    <row r="11" spans="1:9" ht="39.75" x14ac:dyDescent="0.45">
      <c r="A11" s="1"/>
      <c r="B11" s="39" t="s">
        <v>246</v>
      </c>
      <c r="C11" s="40" t="s">
        <v>245</v>
      </c>
      <c r="D11" s="9">
        <v>95689.71</v>
      </c>
      <c r="E11" s="9">
        <f t="shared" ref="E11:E17" si="0">IFERROR(D11/C11,0)</f>
        <v>3189.6570000000002</v>
      </c>
      <c r="F11" s="9">
        <v>0</v>
      </c>
      <c r="G11" s="9">
        <v>1464.05</v>
      </c>
      <c r="H11" s="14" t="s">
        <v>3</v>
      </c>
      <c r="I11" s="1"/>
    </row>
    <row r="12" spans="1:9" x14ac:dyDescent="0.45">
      <c r="A12" s="1"/>
      <c r="B12" s="39" t="s">
        <v>247</v>
      </c>
      <c r="C12" s="40" t="s">
        <v>248</v>
      </c>
      <c r="D12" s="9">
        <v>57413.83</v>
      </c>
      <c r="E12" s="9">
        <f t="shared" si="0"/>
        <v>2870.6914999999999</v>
      </c>
      <c r="F12" s="9">
        <v>0</v>
      </c>
      <c r="G12" s="9">
        <v>878.43</v>
      </c>
      <c r="H12" s="14" t="s">
        <v>3</v>
      </c>
      <c r="I12" s="1"/>
    </row>
    <row r="13" spans="1:9" x14ac:dyDescent="0.45">
      <c r="A13" s="1"/>
      <c r="B13" s="39" t="s">
        <v>249</v>
      </c>
      <c r="C13" s="40" t="s">
        <v>250</v>
      </c>
      <c r="D13" s="9">
        <v>19137.939999999999</v>
      </c>
      <c r="E13" s="9">
        <f t="shared" si="0"/>
        <v>1275.8626666666667</v>
      </c>
      <c r="F13" s="9">
        <v>0</v>
      </c>
      <c r="G13" s="9">
        <v>292.81</v>
      </c>
      <c r="H13" s="14" t="s">
        <v>3</v>
      </c>
      <c r="I13" s="1"/>
    </row>
    <row r="14" spans="1:9" x14ac:dyDescent="0.45">
      <c r="A14" s="1"/>
      <c r="B14" s="39" t="s">
        <v>251</v>
      </c>
      <c r="C14" s="40" t="s">
        <v>252</v>
      </c>
      <c r="D14" s="9">
        <v>114827.66</v>
      </c>
      <c r="E14" s="9">
        <f t="shared" si="0"/>
        <v>11482.766</v>
      </c>
      <c r="F14" s="9">
        <v>0</v>
      </c>
      <c r="G14" s="9">
        <v>1756.86</v>
      </c>
      <c r="H14" s="14" t="s">
        <v>3</v>
      </c>
      <c r="I14" s="1"/>
    </row>
    <row r="15" spans="1:9" ht="52.9" x14ac:dyDescent="0.45">
      <c r="A15" s="1"/>
      <c r="B15" s="39" t="s">
        <v>253</v>
      </c>
      <c r="C15" s="40" t="s">
        <v>252</v>
      </c>
      <c r="D15" s="9">
        <v>83993.46</v>
      </c>
      <c r="E15" s="9">
        <f t="shared" si="0"/>
        <v>8399.3460000000014</v>
      </c>
      <c r="F15" s="9">
        <v>0</v>
      </c>
      <c r="G15" s="9">
        <v>1285.0999999999999</v>
      </c>
      <c r="H15" s="14" t="s">
        <v>3</v>
      </c>
      <c r="I15" s="1"/>
    </row>
    <row r="16" spans="1:9" x14ac:dyDescent="0.45">
      <c r="A16" s="1"/>
      <c r="B16" s="39" t="s">
        <v>254</v>
      </c>
      <c r="C16" s="40" t="s">
        <v>255</v>
      </c>
      <c r="D16" s="9">
        <v>3536.57</v>
      </c>
      <c r="E16" s="9">
        <f t="shared" si="0"/>
        <v>442.07125000000002</v>
      </c>
      <c r="F16" s="9">
        <v>0</v>
      </c>
      <c r="G16" s="9">
        <v>54.11</v>
      </c>
      <c r="H16" s="14" t="s">
        <v>3</v>
      </c>
      <c r="I16" s="1"/>
    </row>
    <row r="17" spans="1:9" ht="39.75" x14ac:dyDescent="0.45">
      <c r="A17" s="1"/>
      <c r="B17" s="39" t="s">
        <v>256</v>
      </c>
      <c r="C17" s="40" t="s">
        <v>252</v>
      </c>
      <c r="D17" s="9">
        <v>884.14</v>
      </c>
      <c r="E17" s="9">
        <f t="shared" si="0"/>
        <v>88.414000000000001</v>
      </c>
      <c r="F17" s="9">
        <v>0</v>
      </c>
      <c r="G17" s="9">
        <v>13.53</v>
      </c>
      <c r="H17" s="14" t="s">
        <v>3</v>
      </c>
      <c r="I17" s="1"/>
    </row>
    <row r="18" spans="1:9" ht="26.65" x14ac:dyDescent="0.45">
      <c r="A18" s="1"/>
      <c r="B18" s="39" t="s">
        <v>257</v>
      </c>
      <c r="C18" s="40" t="s">
        <v>258</v>
      </c>
      <c r="D18" s="9">
        <v>920550.42</v>
      </c>
      <c r="E18" s="9">
        <f t="shared" ref="E18:E19" si="1">IFERROR(D18/C18,0)</f>
        <v>12274.0056</v>
      </c>
      <c r="F18" s="9">
        <v>0</v>
      </c>
      <c r="G18" s="9">
        <v>14084.42</v>
      </c>
      <c r="H18" s="14" t="s">
        <v>3</v>
      </c>
      <c r="I18" s="1"/>
    </row>
    <row r="19" spans="1:9" x14ac:dyDescent="0.45">
      <c r="A19" s="1"/>
      <c r="B19" s="39" t="s">
        <v>259</v>
      </c>
      <c r="C19" s="40" t="s">
        <v>258</v>
      </c>
      <c r="D19" s="9">
        <v>42451.23</v>
      </c>
      <c r="E19" s="9">
        <f t="shared" si="1"/>
        <v>566.01640000000009</v>
      </c>
      <c r="F19" s="9">
        <v>0</v>
      </c>
      <c r="G19" s="9">
        <v>649.5</v>
      </c>
      <c r="H19" s="14" t="s">
        <v>3</v>
      </c>
      <c r="I19" s="1"/>
    </row>
    <row r="20" spans="1:9" x14ac:dyDescent="0.45">
      <c r="A20" s="1"/>
      <c r="B20" s="97" t="s">
        <v>198</v>
      </c>
      <c r="C20" s="98"/>
      <c r="D20" s="99"/>
      <c r="E20" s="12">
        <f>SUM(E10:E19)</f>
        <v>62916.430416666677</v>
      </c>
      <c r="F20" s="12">
        <f t="shared" ref="F20" si="2">SUM(F10:F19)</f>
        <v>0</v>
      </c>
      <c r="G20" s="12">
        <f>SUM(G10:G19)</f>
        <v>30727.18</v>
      </c>
      <c r="H20" s="13" t="s">
        <v>3</v>
      </c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4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45">
      <c r="A55" s="1"/>
      <c r="B55" s="1"/>
      <c r="C55" s="1"/>
      <c r="D55" s="1"/>
      <c r="E55" s="1"/>
      <c r="F55" s="1"/>
      <c r="G55" s="1"/>
      <c r="H55" s="1"/>
      <c r="I55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20:D20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215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8" t="s">
        <v>94</v>
      </c>
      <c r="C8" s="49"/>
      <c r="D8" s="49"/>
      <c r="E8" s="49"/>
      <c r="F8" s="20"/>
      <c r="G8" s="1"/>
    </row>
    <row r="9" spans="1:7" ht="17.25" customHeight="1" x14ac:dyDescent="0.45">
      <c r="A9" s="1"/>
      <c r="B9" s="46" t="s">
        <v>16</v>
      </c>
      <c r="C9" s="46" t="s">
        <v>11</v>
      </c>
      <c r="D9" s="47"/>
      <c r="E9" s="46" t="s">
        <v>34</v>
      </c>
      <c r="F9" s="45"/>
      <c r="G9" s="1"/>
    </row>
    <row r="10" spans="1:7" x14ac:dyDescent="0.45">
      <c r="A10" s="1"/>
      <c r="B10" s="25" t="s">
        <v>44</v>
      </c>
      <c r="C10" s="22">
        <f>'Fane 8. Anlægsprojekter'!F20</f>
        <v>0</v>
      </c>
      <c r="D10" s="14" t="s">
        <v>3</v>
      </c>
      <c r="E10" s="9">
        <f>SUM('Fane 8. Anlægsprojekter'!E20,'Fane 8. Anlægsprojekter'!G20)</f>
        <v>93643.610416666677</v>
      </c>
      <c r="F10" s="14" t="s">
        <v>3</v>
      </c>
      <c r="G10" s="1"/>
    </row>
    <row r="11" spans="1:7" x14ac:dyDescent="0.45">
      <c r="A11" s="1"/>
      <c r="B11" s="41" t="s">
        <v>241</v>
      </c>
      <c r="C11" s="22">
        <v>44639</v>
      </c>
      <c r="D11" s="14" t="s">
        <v>3</v>
      </c>
      <c r="E11" s="9">
        <v>27481</v>
      </c>
      <c r="F11" s="14" t="s">
        <v>3</v>
      </c>
      <c r="G11" s="1"/>
    </row>
    <row r="12" spans="1:7" x14ac:dyDescent="0.45">
      <c r="A12" s="1"/>
      <c r="B12" s="48" t="s">
        <v>48</v>
      </c>
      <c r="C12" s="12">
        <f>SUM(C10:C11)</f>
        <v>44639</v>
      </c>
      <c r="D12" s="13" t="s">
        <v>3</v>
      </c>
      <c r="E12" s="12">
        <f>SUM(E10:E11)</f>
        <v>121124.61041666668</v>
      </c>
      <c r="F12" s="13" t="s">
        <v>3</v>
      </c>
      <c r="G12" s="1"/>
    </row>
    <row r="13" spans="1:7" x14ac:dyDescent="0.45">
      <c r="A13" s="1"/>
      <c r="B13" s="48" t="s">
        <v>173</v>
      </c>
      <c r="C13" s="12">
        <f>C12*(1+'Fane 12. Nøgletal'!C13)</f>
        <v>45183.595800000003</v>
      </c>
      <c r="D13" s="13" t="s">
        <v>3</v>
      </c>
      <c r="E13" s="12">
        <f>E12*(1+'Fane 12. Nøgletal'!C13)</f>
        <v>122602.33066375001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i/HhgHwuY/SQDtYJSvS1sfSnAz33twUIBiHerf8BjAFZqcuVYXplX0zdk8OnlGGu95ndyQeAJDmzUZkHl+v/A==" saltValue="G5jOyoju+1HD6kmPLrtPU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214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119</v>
      </c>
      <c r="C8" s="98"/>
      <c r="D8" s="98"/>
      <c r="E8" s="98"/>
      <c r="F8" s="99"/>
      <c r="G8" s="1"/>
    </row>
    <row r="9" spans="1:7" x14ac:dyDescent="0.45">
      <c r="A9" s="1"/>
      <c r="B9" s="46" t="s">
        <v>16</v>
      </c>
      <c r="C9" s="46" t="s">
        <v>11</v>
      </c>
      <c r="D9" s="47"/>
      <c r="E9" s="46" t="s">
        <v>34</v>
      </c>
      <c r="F9" s="45"/>
      <c r="G9" s="1"/>
    </row>
    <row r="10" spans="1:7" x14ac:dyDescent="0.45">
      <c r="A10" s="1"/>
      <c r="B10" s="25" t="s">
        <v>242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8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8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7" t="s">
        <v>120</v>
      </c>
      <c r="C16" s="98"/>
      <c r="D16" s="98"/>
      <c r="E16" s="98"/>
      <c r="F16" s="99"/>
      <c r="G16" s="1"/>
    </row>
    <row r="17" spans="1:7" x14ac:dyDescent="0.45">
      <c r="A17" s="1"/>
      <c r="B17" s="46" t="s">
        <v>16</v>
      </c>
      <c r="C17" s="46" t="s">
        <v>11</v>
      </c>
      <c r="D17" s="47"/>
      <c r="E17" s="46" t="s">
        <v>34</v>
      </c>
      <c r="F17" s="45"/>
      <c r="G17" s="1"/>
    </row>
    <row r="18" spans="1:7" x14ac:dyDescent="0.45">
      <c r="A18" s="1"/>
      <c r="B18" s="25" t="s">
        <v>242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8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8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7" t="s">
        <v>121</v>
      </c>
      <c r="C24" s="98"/>
      <c r="D24" s="98"/>
      <c r="E24" s="98"/>
      <c r="F24" s="99"/>
      <c r="G24" s="1"/>
    </row>
    <row r="25" spans="1:7" x14ac:dyDescent="0.45">
      <c r="A25" s="1"/>
      <c r="B25" s="46" t="s">
        <v>16</v>
      </c>
      <c r="C25" s="46" t="s">
        <v>11</v>
      </c>
      <c r="D25" s="47"/>
      <c r="E25" s="46" t="s">
        <v>34</v>
      </c>
      <c r="F25" s="45"/>
      <c r="G25" s="1"/>
    </row>
    <row r="26" spans="1:7" x14ac:dyDescent="0.45">
      <c r="A26" s="1"/>
      <c r="B26" s="25" t="s">
        <v>242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8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8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7" t="s">
        <v>176</v>
      </c>
      <c r="C32" s="98"/>
      <c r="D32" s="98"/>
      <c r="E32" s="98"/>
      <c r="F32" s="99"/>
      <c r="G32" s="1"/>
    </row>
    <row r="33" spans="1:7" x14ac:dyDescent="0.45">
      <c r="A33" s="1"/>
      <c r="B33" s="46" t="s">
        <v>16</v>
      </c>
      <c r="C33" s="46" t="s">
        <v>11</v>
      </c>
      <c r="D33" s="47"/>
      <c r="E33" s="46" t="s">
        <v>34</v>
      </c>
      <c r="F33" s="45"/>
      <c r="G33" s="1"/>
    </row>
    <row r="34" spans="1:7" x14ac:dyDescent="0.45">
      <c r="A34" s="1"/>
      <c r="B34" s="25" t="s">
        <v>242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8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8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OQgZudUO7Kbwju6D2ycjkP7OVQ92IHua5T9IbdKzyB7dlKwo7R+RTHGun5Ym+cpoyG25fVmHeagBvIVT/YuOfA==" saltValue="R8WEnT9v0a01UYlabZloL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213</v>
      </c>
      <c r="C3" s="93"/>
      <c r="D3" s="93"/>
      <c r="E3" s="93"/>
      <c r="F3" s="93"/>
      <c r="G3" s="1"/>
    </row>
    <row r="4" spans="1:7" ht="25.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156</v>
      </c>
      <c r="C8" s="98"/>
      <c r="D8" s="98"/>
      <c r="E8" s="98"/>
      <c r="F8" s="99"/>
      <c r="G8" s="1"/>
    </row>
    <row r="9" spans="1:7" ht="15" customHeight="1" x14ac:dyDescent="0.45">
      <c r="A9" s="1"/>
      <c r="B9" s="44" t="s">
        <v>157</v>
      </c>
      <c r="C9" s="88" t="s">
        <v>11</v>
      </c>
      <c r="D9" s="90"/>
      <c r="E9" s="88" t="s">
        <v>34</v>
      </c>
      <c r="F9" s="90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212</v>
      </c>
      <c r="C3" s="93"/>
      <c r="D3" s="93"/>
      <c r="E3" s="93"/>
      <c r="F3" s="93"/>
      <c r="G3" s="1"/>
    </row>
    <row r="4" spans="1:7" ht="25.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111</v>
      </c>
      <c r="C8" s="98"/>
      <c r="D8" s="98"/>
      <c r="E8" s="98"/>
      <c r="F8" s="99"/>
      <c r="G8" s="1"/>
    </row>
    <row r="9" spans="1:7" ht="15" customHeight="1" x14ac:dyDescent="0.45">
      <c r="A9" s="1"/>
      <c r="B9" s="44" t="s">
        <v>17</v>
      </c>
      <c r="C9" s="44" t="s">
        <v>11</v>
      </c>
      <c r="D9" s="45"/>
      <c r="E9" s="44" t="s">
        <v>34</v>
      </c>
      <c r="F9" s="45"/>
      <c r="G9" s="1"/>
    </row>
    <row r="10" spans="1:7" x14ac:dyDescent="0.4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8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8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7" t="s">
        <v>110</v>
      </c>
      <c r="C15" s="98"/>
      <c r="D15" s="98"/>
      <c r="E15" s="98"/>
      <c r="F15" s="99"/>
      <c r="G15" s="1"/>
    </row>
    <row r="16" spans="1:7" x14ac:dyDescent="0.45">
      <c r="A16" s="1"/>
      <c r="B16" s="44" t="s">
        <v>17</v>
      </c>
      <c r="C16" s="44" t="s">
        <v>11</v>
      </c>
      <c r="D16" s="45"/>
      <c r="E16" s="44" t="s">
        <v>34</v>
      </c>
      <c r="F16" s="45"/>
      <c r="G16" s="1"/>
    </row>
    <row r="17" spans="1:7" x14ac:dyDescent="0.4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8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8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7" t="s">
        <v>112</v>
      </c>
      <c r="C22" s="98"/>
      <c r="D22" s="98"/>
      <c r="E22" s="98"/>
      <c r="F22" s="99"/>
      <c r="G22" s="1"/>
    </row>
    <row r="23" spans="1:7" x14ac:dyDescent="0.45">
      <c r="A23" s="1"/>
      <c r="B23" s="44" t="s">
        <v>17</v>
      </c>
      <c r="C23" s="44" t="s">
        <v>11</v>
      </c>
      <c r="D23" s="45"/>
      <c r="E23" s="44" t="s">
        <v>34</v>
      </c>
      <c r="F23" s="45"/>
      <c r="G23" s="1"/>
    </row>
    <row r="24" spans="1:7" x14ac:dyDescent="0.4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8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8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7" t="s">
        <v>182</v>
      </c>
      <c r="C29" s="98"/>
      <c r="D29" s="98"/>
      <c r="E29" s="98"/>
      <c r="F29" s="99"/>
      <c r="G29" s="1"/>
    </row>
    <row r="30" spans="1:7" x14ac:dyDescent="0.45">
      <c r="A30" s="1"/>
      <c r="B30" s="44" t="s">
        <v>17</v>
      </c>
      <c r="C30" s="44" t="s">
        <v>11</v>
      </c>
      <c r="D30" s="45"/>
      <c r="E30" s="44" t="s">
        <v>34</v>
      </c>
      <c r="F30" s="45"/>
      <c r="G30" s="1"/>
    </row>
    <row r="31" spans="1:7" x14ac:dyDescent="0.4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8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8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3" t="s">
        <v>211</v>
      </c>
      <c r="C3" s="93"/>
      <c r="D3" s="1"/>
    </row>
    <row r="4" spans="1:4" ht="25.5" customHeight="1" x14ac:dyDescent="0.45">
      <c r="A4" s="1"/>
      <c r="B4" s="93"/>
      <c r="C4" s="9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8" t="s">
        <v>14</v>
      </c>
      <c r="C8" s="20"/>
      <c r="D8" s="1"/>
    </row>
    <row r="9" spans="1:4" x14ac:dyDescent="0.45">
      <c r="A9" s="1"/>
      <c r="B9" s="52" t="s">
        <v>141</v>
      </c>
      <c r="C9" s="26">
        <v>1.2699999999999999E-2</v>
      </c>
      <c r="D9" s="1"/>
    </row>
    <row r="10" spans="1:4" x14ac:dyDescent="0.45">
      <c r="A10" s="1"/>
      <c r="B10" s="52" t="s">
        <v>22</v>
      </c>
      <c r="C10" s="26">
        <v>1.7500000000000002E-2</v>
      </c>
      <c r="D10" s="1"/>
    </row>
    <row r="11" spans="1:4" x14ac:dyDescent="0.45">
      <c r="A11" s="1"/>
      <c r="B11" s="52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7"/>
      <c r="C14" s="99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8" t="s">
        <v>126</v>
      </c>
      <c r="C17" s="20"/>
      <c r="D17" s="1"/>
    </row>
    <row r="18" spans="1:4" x14ac:dyDescent="0.45">
      <c r="A18" s="1"/>
      <c r="B18" s="52" t="s">
        <v>143</v>
      </c>
      <c r="C18" s="23">
        <v>9.1000000000000004E-3</v>
      </c>
      <c r="D18" s="1"/>
    </row>
    <row r="19" spans="1:4" x14ac:dyDescent="0.45">
      <c r="A19" s="1"/>
      <c r="B19" s="52" t="s">
        <v>144</v>
      </c>
      <c r="C19" s="23">
        <v>1.77E-2</v>
      </c>
      <c r="D19" s="1"/>
    </row>
    <row r="20" spans="1:4" x14ac:dyDescent="0.45">
      <c r="A20" s="1"/>
      <c r="B20" s="52" t="s">
        <v>145</v>
      </c>
      <c r="C20" s="23">
        <v>8.6999999999999994E-3</v>
      </c>
      <c r="D20" s="1"/>
    </row>
    <row r="21" spans="1:4" x14ac:dyDescent="0.45">
      <c r="A21" s="1"/>
      <c r="B21" s="52" t="s">
        <v>146</v>
      </c>
      <c r="C21" s="36">
        <v>2.8400000000000002E-2</v>
      </c>
      <c r="D21" s="1"/>
    </row>
    <row r="22" spans="1:4" x14ac:dyDescent="0.45">
      <c r="A22" s="1"/>
      <c r="B22" s="52" t="s">
        <v>186</v>
      </c>
      <c r="C22" s="36">
        <v>2.75E-2</v>
      </c>
      <c r="D22" s="1"/>
    </row>
    <row r="23" spans="1:4" x14ac:dyDescent="0.45">
      <c r="A23" s="1"/>
      <c r="B23" s="48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8" t="s">
        <v>127</v>
      </c>
      <c r="C26" s="20"/>
      <c r="D26" s="1"/>
    </row>
    <row r="27" spans="1:4" x14ac:dyDescent="0.45">
      <c r="A27" s="1"/>
      <c r="B27" s="52" t="s">
        <v>147</v>
      </c>
      <c r="C27" s="26">
        <v>0.02</v>
      </c>
      <c r="D27" s="1"/>
    </row>
    <row r="28" spans="1:4" x14ac:dyDescent="0.45">
      <c r="A28" s="1"/>
      <c r="B28" s="48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4" t="s">
        <v>161</v>
      </c>
      <c r="C3" s="74"/>
      <c r="D3" s="74"/>
      <c r="E3" s="1"/>
    </row>
    <row r="4" spans="1:5" ht="15" customHeight="1" x14ac:dyDescent="0.45">
      <c r="A4" s="1"/>
      <c r="B4" s="74"/>
      <c r="C4" s="74"/>
      <c r="D4" s="74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8" t="s">
        <v>13</v>
      </c>
      <c r="C8" s="49"/>
      <c r="D8" s="20"/>
      <c r="E8" s="1"/>
    </row>
    <row r="9" spans="1:5" x14ac:dyDescent="0.45">
      <c r="A9" s="1"/>
      <c r="B9" s="51" t="s">
        <v>25</v>
      </c>
      <c r="C9" s="7">
        <f>'Fane 3. Omkostninger i ØR2020'!E20</f>
        <v>19804903.702149861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tillæg'!C13</f>
        <v>45183.595800000003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tillæg'!E13</f>
        <v>122602.33066375001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243666.8134690861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-373276.36610853631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-213968.78468165023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-272904.85754472011</v>
      </c>
      <c r="D19" s="8" t="s">
        <v>3</v>
      </c>
      <c r="E19" s="1"/>
    </row>
    <row r="20" spans="1:5" ht="17.100000000000001" customHeight="1" x14ac:dyDescent="0.45">
      <c r="A20" s="1"/>
      <c r="B20" s="53" t="s">
        <v>20</v>
      </c>
      <c r="C20" s="10">
        <f>SUM(C9:C19)</f>
        <v>19356206.433747791</v>
      </c>
      <c r="D20" s="11" t="s">
        <v>3</v>
      </c>
      <c r="E20" s="1"/>
    </row>
    <row r="21" spans="1:5" ht="15" customHeight="1" x14ac:dyDescent="0.45">
      <c r="A21" s="1"/>
      <c r="B21" s="48" t="s">
        <v>12</v>
      </c>
      <c r="C21" s="49"/>
      <c r="D21" s="20"/>
      <c r="E21" s="1"/>
    </row>
    <row r="22" spans="1:5" ht="15" customHeight="1" x14ac:dyDescent="0.45">
      <c r="A22" s="1"/>
      <c r="B22" s="44" t="s">
        <v>12</v>
      </c>
      <c r="C22" s="10">
        <f>'Fane 6. Ikke-påvirkelige omk.'!C18</f>
        <v>9025967.9157480001</v>
      </c>
      <c r="D22" s="11" t="s">
        <v>3</v>
      </c>
      <c r="E22" s="1"/>
    </row>
    <row r="23" spans="1:5" ht="15" customHeight="1" x14ac:dyDescent="0.45">
      <c r="A23" s="1"/>
      <c r="B23" s="48" t="s">
        <v>99</v>
      </c>
      <c r="C23" s="49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3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9"/>
      <c r="D27" s="20"/>
      <c r="E27" s="1"/>
    </row>
    <row r="28" spans="1:5" x14ac:dyDescent="0.45">
      <c r="A28" s="1"/>
      <c r="B28" s="54" t="s">
        <v>205</v>
      </c>
      <c r="C28" s="10">
        <f>'Fane 7. Kontrol af ØR2019'!E41</f>
        <v>-387038.74933665991</v>
      </c>
      <c r="D28" s="11" t="s">
        <v>3</v>
      </c>
      <c r="E28" s="1"/>
    </row>
    <row r="29" spans="1:5" x14ac:dyDescent="0.45">
      <c r="A29" s="1"/>
      <c r="B29" s="48" t="s">
        <v>31</v>
      </c>
      <c r="C29" s="32">
        <f>SUM(C20,C22,C26,C28)</f>
        <v>27995135.600159131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4" t="s">
        <v>162</v>
      </c>
      <c r="C3" s="74"/>
      <c r="D3" s="74"/>
      <c r="E3" s="1"/>
    </row>
    <row r="4" spans="1:5" ht="15" customHeight="1" x14ac:dyDescent="0.45">
      <c r="A4" s="1"/>
      <c r="B4" s="74"/>
      <c r="C4" s="74"/>
      <c r="D4" s="74"/>
      <c r="E4" s="1"/>
    </row>
    <row r="5" spans="1:5" x14ac:dyDescent="0.45">
      <c r="A5" s="1"/>
      <c r="B5" s="75"/>
      <c r="C5" s="75"/>
      <c r="D5" s="75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8" t="s">
        <v>13</v>
      </c>
      <c r="C8" s="49"/>
      <c r="D8" s="20"/>
      <c r="E8" s="1"/>
    </row>
    <row r="9" spans="1:5" ht="15" customHeight="1" x14ac:dyDescent="0.45">
      <c r="A9" s="1"/>
      <c r="B9" s="51" t="s">
        <v>26</v>
      </c>
      <c r="C9" s="7">
        <f>'Fane 2.1. Økonomisk ramme 2021'!C20</f>
        <v>19356206.433747791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42" t="s">
        <v>18</v>
      </c>
      <c r="C12" s="9">
        <f>SUM(C9:C11)*'Fane 12. Nøgletal'!C13</f>
        <v>236145.71849172306</v>
      </c>
      <c r="D12" s="8" t="s">
        <v>3</v>
      </c>
      <c r="E12" s="1"/>
    </row>
    <row r="13" spans="1:5" ht="15" customHeight="1" x14ac:dyDescent="0.45">
      <c r="A13" s="1"/>
      <c r="B13" s="42" t="s">
        <v>9</v>
      </c>
      <c r="C13" s="9">
        <f>-SUM(C9:C12)*'Fane 5. Individuelt eff. krav'!G10</f>
        <v>-361754.70272591308</v>
      </c>
      <c r="D13" s="8" t="s">
        <v>3</v>
      </c>
      <c r="E13" s="1"/>
    </row>
    <row r="14" spans="1:5" ht="15" customHeight="1" x14ac:dyDescent="0.45">
      <c r="A14" s="1"/>
      <c r="B14" s="42" t="s">
        <v>27</v>
      </c>
      <c r="C14" s="9">
        <f>-'Fane 4.1. Gen. krav - drift'!G37</f>
        <v>-212247.61977767103</v>
      </c>
      <c r="D14" s="8" t="s">
        <v>3</v>
      </c>
      <c r="E14" s="1"/>
    </row>
    <row r="15" spans="1:5" ht="15" customHeight="1" x14ac:dyDescent="0.45">
      <c r="A15" s="1"/>
      <c r="B15" s="42" t="s">
        <v>28</v>
      </c>
      <c r="C15" s="9">
        <f>-'Fane 4.2. Gen. krav - anlæg'!G37</f>
        <v>-268637.85364457965</v>
      </c>
      <c r="D15" s="8" t="s">
        <v>3</v>
      </c>
      <c r="E15" s="1"/>
    </row>
    <row r="16" spans="1:5" ht="15" customHeight="1" x14ac:dyDescent="0.45">
      <c r="A16" s="1"/>
      <c r="B16" s="43" t="s">
        <v>20</v>
      </c>
      <c r="C16" s="10">
        <f>SUM(C9:C15)</f>
        <v>18749711.976091348</v>
      </c>
      <c r="D16" s="11" t="s">
        <v>3</v>
      </c>
      <c r="E16" s="1"/>
    </row>
    <row r="17" spans="1:5" x14ac:dyDescent="0.45">
      <c r="A17" s="1"/>
      <c r="B17" s="48" t="s">
        <v>12</v>
      </c>
      <c r="C17" s="49"/>
      <c r="D17" s="20"/>
      <c r="E17" s="1"/>
    </row>
    <row r="18" spans="1:5" ht="15" customHeight="1" x14ac:dyDescent="0.45">
      <c r="A18" s="1"/>
      <c r="B18" s="44" t="s">
        <v>12</v>
      </c>
      <c r="C18" s="10">
        <f>'Fane 6. Ikke-påvirkelige omk.'!C18*(1+'Fane 12. Nøgletal'!C13)</f>
        <v>9136084.7243201248</v>
      </c>
      <c r="D18" s="11" t="s">
        <v>3</v>
      </c>
      <c r="E18" s="1"/>
    </row>
    <row r="19" spans="1:5" ht="15" customHeight="1" x14ac:dyDescent="0.45">
      <c r="A19" s="1"/>
      <c r="B19" s="48" t="s">
        <v>99</v>
      </c>
      <c r="C19" s="49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3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9"/>
      <c r="D23" s="20"/>
      <c r="E23" s="1"/>
    </row>
    <row r="24" spans="1:5" ht="15" customHeight="1" x14ac:dyDescent="0.45">
      <c r="A24" s="1"/>
      <c r="B24" s="54" t="s">
        <v>205</v>
      </c>
      <c r="C24" s="10">
        <f>'Fane 7. Kontrol af ØR2019'!E41</f>
        <v>-387038.74933665991</v>
      </c>
      <c r="D24" s="11" t="s">
        <v>3</v>
      </c>
      <c r="E24" s="1"/>
    </row>
    <row r="25" spans="1:5" x14ac:dyDescent="0.45">
      <c r="A25" s="1"/>
      <c r="B25" s="48" t="s">
        <v>32</v>
      </c>
      <c r="C25" s="12">
        <f>SUM(C16,C18,C22,C24)</f>
        <v>27498757.951074813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4" t="s">
        <v>163</v>
      </c>
      <c r="C3" s="74"/>
      <c r="D3" s="74"/>
      <c r="E3" s="1"/>
    </row>
    <row r="4" spans="1:5" ht="15" customHeight="1" x14ac:dyDescent="0.45">
      <c r="A4" s="1"/>
      <c r="B4" s="74"/>
      <c r="C4" s="74"/>
      <c r="D4" s="74"/>
      <c r="E4" s="1"/>
    </row>
    <row r="5" spans="1:5" x14ac:dyDescent="0.45">
      <c r="A5" s="1"/>
      <c r="B5" s="75" t="s">
        <v>21</v>
      </c>
      <c r="C5" s="75"/>
      <c r="D5" s="75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8" t="s">
        <v>13</v>
      </c>
      <c r="C7" s="49"/>
      <c r="D7" s="20"/>
      <c r="E7" s="1"/>
    </row>
    <row r="8" spans="1:5" ht="15" customHeight="1" x14ac:dyDescent="0.45">
      <c r="A8" s="1"/>
      <c r="B8" s="51" t="s">
        <v>165</v>
      </c>
      <c r="C8" s="7">
        <f>'Fane 2.2. Økonomisk ramme 2022'!C16</f>
        <v>18749711.976091348</v>
      </c>
      <c r="D8" s="8" t="s">
        <v>3</v>
      </c>
      <c r="E8" s="1"/>
    </row>
    <row r="9" spans="1:5" ht="15" customHeight="1" x14ac:dyDescent="0.45">
      <c r="A9" s="1"/>
      <c r="B9" s="51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2" t="s">
        <v>18</v>
      </c>
      <c r="C11" s="9">
        <f>SUM(C8:C10)*'Fane 12. Nøgletal'!C13</f>
        <v>228746.48610831445</v>
      </c>
      <c r="D11" s="8" t="s">
        <v>3</v>
      </c>
      <c r="E11" s="1"/>
    </row>
    <row r="12" spans="1:5" ht="15" customHeight="1" x14ac:dyDescent="0.45">
      <c r="A12" s="1"/>
      <c r="B12" s="42" t="s">
        <v>9</v>
      </c>
      <c r="C12" s="9">
        <f>-SUM(C8:C11)*'Fane 5. Individuelt eff. krav'!G10</f>
        <v>-350419.72223862662</v>
      </c>
      <c r="D12" s="8" t="s">
        <v>3</v>
      </c>
      <c r="E12" s="1"/>
    </row>
    <row r="13" spans="1:5" ht="15" customHeight="1" x14ac:dyDescent="0.45">
      <c r="A13" s="1"/>
      <c r="B13" s="42" t="s">
        <v>27</v>
      </c>
      <c r="C13" s="9">
        <f>-'Fane 4.1. Gen. krav - drift'!G43</f>
        <v>-210540.29992417948</v>
      </c>
      <c r="D13" s="8" t="s">
        <v>3</v>
      </c>
      <c r="E13" s="1"/>
    </row>
    <row r="14" spans="1:5" ht="15" customHeight="1" x14ac:dyDescent="0.45">
      <c r="A14" s="1"/>
      <c r="B14" s="42" t="s">
        <v>28</v>
      </c>
      <c r="C14" s="9">
        <f>-'Fane 4.2. Gen. krav - anlæg'!G43</f>
        <v>-264437.5664839198</v>
      </c>
      <c r="D14" s="8" t="s">
        <v>3</v>
      </c>
      <c r="E14" s="1"/>
    </row>
    <row r="15" spans="1:5" x14ac:dyDescent="0.45">
      <c r="A15" s="1"/>
      <c r="B15" s="43" t="s">
        <v>20</v>
      </c>
      <c r="C15" s="10">
        <f>SUM(C8:C14)</f>
        <v>18153060.873552937</v>
      </c>
      <c r="D15" s="11" t="s">
        <v>3</v>
      </c>
      <c r="E15" s="1"/>
    </row>
    <row r="16" spans="1:5" x14ac:dyDescent="0.45">
      <c r="A16" s="1"/>
      <c r="B16" s="48" t="s">
        <v>12</v>
      </c>
      <c r="C16" s="49"/>
      <c r="D16" s="20"/>
      <c r="E16" s="1"/>
    </row>
    <row r="17" spans="1:5" ht="15" customHeight="1" x14ac:dyDescent="0.45">
      <c r="A17" s="1"/>
      <c r="B17" s="44" t="s">
        <v>12</v>
      </c>
      <c r="C17" s="10">
        <f>'Fane 6. Ikke-påvirkelige omk.'!C18*(1+'Fane 12. Nøgletal'!C13)^2</f>
        <v>9247544.9579568319</v>
      </c>
      <c r="D17" s="11" t="s">
        <v>3</v>
      </c>
      <c r="E17" s="1"/>
    </row>
    <row r="18" spans="1:5" ht="15" customHeight="1" x14ac:dyDescent="0.45">
      <c r="A18" s="1"/>
      <c r="B18" s="48" t="s">
        <v>99</v>
      </c>
      <c r="C18" s="49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8" t="s">
        <v>109</v>
      </c>
      <c r="C22" s="12">
        <f>SUM(C15,C17,C21)</f>
        <v>27400605.831509769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4" t="s">
        <v>164</v>
      </c>
      <c r="C3" s="74"/>
      <c r="D3" s="74"/>
      <c r="E3" s="1"/>
    </row>
    <row r="4" spans="1:5" ht="15" customHeight="1" x14ac:dyDescent="0.45">
      <c r="A4" s="1"/>
      <c r="B4" s="74"/>
      <c r="C4" s="74"/>
      <c r="D4" s="74"/>
      <c r="E4" s="1"/>
    </row>
    <row r="5" spans="1:5" x14ac:dyDescent="0.45">
      <c r="A5" s="1"/>
      <c r="B5" s="75" t="s">
        <v>21</v>
      </c>
      <c r="C5" s="75"/>
      <c r="D5" s="75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8" t="s">
        <v>13</v>
      </c>
      <c r="C7" s="49"/>
      <c r="D7" s="20"/>
      <c r="E7" s="1"/>
    </row>
    <row r="8" spans="1:5" ht="15" customHeight="1" x14ac:dyDescent="0.45">
      <c r="A8" s="1"/>
      <c r="B8" s="51" t="s">
        <v>166</v>
      </c>
      <c r="C8" s="7">
        <f>'Fane 2.3. Økonomisk ramme 2023'!C15</f>
        <v>18153060.873552937</v>
      </c>
      <c r="D8" s="8" t="s">
        <v>3</v>
      </c>
      <c r="E8" s="1"/>
    </row>
    <row r="9" spans="1:5" ht="15" customHeight="1" x14ac:dyDescent="0.45">
      <c r="A9" s="1"/>
      <c r="B9" s="51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2" t="s">
        <v>18</v>
      </c>
      <c r="C11" s="9">
        <f>SUM(C8:C10)*'Fane 12. Nøgletal'!C13</f>
        <v>221467.34265734584</v>
      </c>
      <c r="D11" s="8" t="s">
        <v>3</v>
      </c>
      <c r="E11" s="1"/>
    </row>
    <row r="12" spans="1:5" ht="15" customHeight="1" x14ac:dyDescent="0.45">
      <c r="A12" s="1"/>
      <c r="B12" s="42" t="s">
        <v>9</v>
      </c>
      <c r="C12" s="9">
        <f>-SUM(C8:C11)*'Fane 5. Individuelt eff. krav'!G10</f>
        <v>-339268.70755149511</v>
      </c>
      <c r="D12" s="8" t="s">
        <v>3</v>
      </c>
      <c r="E12" s="1"/>
    </row>
    <row r="13" spans="1:5" ht="15" customHeight="1" x14ac:dyDescent="0.45">
      <c r="A13" s="1"/>
      <c r="B13" s="42" t="s">
        <v>27</v>
      </c>
      <c r="C13" s="9">
        <f>-'Fane 4.1. Gen. krav - drift'!G49</f>
        <v>-208846.71375158936</v>
      </c>
      <c r="D13" s="8" t="s">
        <v>3</v>
      </c>
      <c r="E13" s="1"/>
    </row>
    <row r="14" spans="1:5" ht="15" customHeight="1" x14ac:dyDescent="0.45">
      <c r="A14" s="1"/>
      <c r="B14" s="42" t="s">
        <v>28</v>
      </c>
      <c r="C14" s="9">
        <f>-'Fane 4.2. Gen. krav - anlæg'!G49</f>
        <v>-260302.95291316046</v>
      </c>
      <c r="D14" s="8" t="s">
        <v>3</v>
      </c>
      <c r="E14" s="1"/>
    </row>
    <row r="15" spans="1:5" x14ac:dyDescent="0.45">
      <c r="A15" s="1"/>
      <c r="B15" s="43" t="s">
        <v>20</v>
      </c>
      <c r="C15" s="10">
        <f>SUM(C8:C14)</f>
        <v>17566109.84199404</v>
      </c>
      <c r="D15" s="11" t="s">
        <v>3</v>
      </c>
      <c r="E15" s="1"/>
    </row>
    <row r="16" spans="1:5" x14ac:dyDescent="0.45">
      <c r="A16" s="1"/>
      <c r="B16" s="48" t="s">
        <v>12</v>
      </c>
      <c r="C16" s="49"/>
      <c r="D16" s="20"/>
      <c r="E16" s="1"/>
    </row>
    <row r="17" spans="1:5" ht="15" customHeight="1" x14ac:dyDescent="0.45">
      <c r="A17" s="1"/>
      <c r="B17" s="44" t="s">
        <v>12</v>
      </c>
      <c r="C17" s="10">
        <f>'Fane 6. Ikke-påvirkelige omk.'!C18*(1+'Fane 12. Nøgletal'!C13)^3</f>
        <v>9360365.0064439047</v>
      </c>
      <c r="D17" s="11" t="s">
        <v>3</v>
      </c>
      <c r="E17" s="1"/>
    </row>
    <row r="18" spans="1:5" ht="15" customHeight="1" x14ac:dyDescent="0.45">
      <c r="A18" s="1"/>
      <c r="B18" s="48" t="s">
        <v>99</v>
      </c>
      <c r="C18" s="49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8" t="s">
        <v>243</v>
      </c>
      <c r="C22" s="12">
        <f>SUM(C15,C17,C21)</f>
        <v>26926474.848437943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180</v>
      </c>
      <c r="C3" s="93"/>
      <c r="D3" s="93"/>
      <c r="E3" s="93"/>
      <c r="F3" s="93"/>
      <c r="G3" s="1"/>
    </row>
    <row r="4" spans="1:7" ht="29.2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8" t="s">
        <v>167</v>
      </c>
      <c r="C8" s="49"/>
      <c r="D8" s="49"/>
      <c r="E8" s="49"/>
      <c r="F8" s="20"/>
      <c r="G8" s="1"/>
    </row>
    <row r="9" spans="1:7" x14ac:dyDescent="0.45">
      <c r="A9" s="1"/>
      <c r="B9" s="94" t="s">
        <v>23</v>
      </c>
      <c r="C9" s="95"/>
      <c r="D9" s="96"/>
      <c r="E9" s="7">
        <v>17733081.350349229</v>
      </c>
      <c r="F9" s="8" t="s">
        <v>3</v>
      </c>
      <c r="G9" s="1"/>
    </row>
    <row r="10" spans="1:7" ht="15" customHeight="1" x14ac:dyDescent="0.45">
      <c r="A10" s="1"/>
      <c r="B10" s="79" t="s">
        <v>45</v>
      </c>
      <c r="C10" s="80"/>
      <c r="D10" s="81"/>
      <c r="E10" s="7">
        <v>1893487.0387639229</v>
      </c>
      <c r="F10" s="8" t="s">
        <v>3</v>
      </c>
      <c r="G10" s="1"/>
    </row>
    <row r="11" spans="1:7" ht="15" customHeight="1" x14ac:dyDescent="0.45">
      <c r="A11" s="1"/>
      <c r="B11" s="79" t="s">
        <v>46</v>
      </c>
      <c r="C11" s="80"/>
      <c r="D11" s="81"/>
      <c r="E11" s="9">
        <v>350942.97031200002</v>
      </c>
      <c r="F11" s="8" t="s">
        <v>3</v>
      </c>
      <c r="G11" s="1"/>
    </row>
    <row r="12" spans="1:7" x14ac:dyDescent="0.45">
      <c r="A12" s="1"/>
      <c r="B12" s="79" t="s">
        <v>30</v>
      </c>
      <c r="C12" s="80"/>
      <c r="D12" s="81"/>
      <c r="E12" s="9">
        <v>0</v>
      </c>
      <c r="F12" s="8" t="s">
        <v>3</v>
      </c>
      <c r="G12" s="1"/>
    </row>
    <row r="13" spans="1:7" x14ac:dyDescent="0.45">
      <c r="A13" s="1"/>
      <c r="B13" s="79" t="s">
        <v>29</v>
      </c>
      <c r="C13" s="80"/>
      <c r="D13" s="81"/>
      <c r="E13" s="9">
        <v>0</v>
      </c>
      <c r="F13" s="8" t="s">
        <v>3</v>
      </c>
      <c r="G13" s="1"/>
    </row>
    <row r="14" spans="1:7" x14ac:dyDescent="0.45">
      <c r="A14" s="1"/>
      <c r="B14" s="79" t="s">
        <v>159</v>
      </c>
      <c r="C14" s="80"/>
      <c r="D14" s="81"/>
      <c r="E14" s="9">
        <v>0</v>
      </c>
      <c r="F14" s="8" t="s">
        <v>3</v>
      </c>
      <c r="G14" s="1"/>
    </row>
    <row r="15" spans="1:7" x14ac:dyDescent="0.45">
      <c r="A15" s="1"/>
      <c r="B15" s="79" t="s">
        <v>160</v>
      </c>
      <c r="C15" s="80"/>
      <c r="D15" s="81"/>
      <c r="E15" s="9">
        <v>0</v>
      </c>
      <c r="F15" s="8" t="s">
        <v>3</v>
      </c>
      <c r="G15" s="1"/>
    </row>
    <row r="16" spans="1:7" x14ac:dyDescent="0.45">
      <c r="A16" s="1"/>
      <c r="B16" s="79" t="s">
        <v>18</v>
      </c>
      <c r="C16" s="80"/>
      <c r="D16" s="81"/>
      <c r="E16" s="9">
        <f>E9*'Fane 12. Nøgletal'!C11+SUM(E10:E15)*'Fane 12. Nøgletal'!C12</f>
        <v>343904.34599969763</v>
      </c>
      <c r="F16" s="8" t="s">
        <v>3</v>
      </c>
      <c r="G16" s="1"/>
    </row>
    <row r="17" spans="1:7" x14ac:dyDescent="0.45">
      <c r="A17" s="1"/>
      <c r="B17" s="79" t="s">
        <v>9</v>
      </c>
      <c r="C17" s="80"/>
      <c r="D17" s="81"/>
      <c r="E17" s="9">
        <f>-SUM(E9:E16)*'Fane 5. Individuelt eff. krav'!G9</f>
        <v>-209649.41884101235</v>
      </c>
      <c r="F17" s="8" t="s">
        <v>3</v>
      </c>
      <c r="G17" s="1"/>
    </row>
    <row r="18" spans="1:7" x14ac:dyDescent="0.45">
      <c r="A18" s="1"/>
      <c r="B18" s="79" t="s">
        <v>27</v>
      </c>
      <c r="C18" s="80"/>
      <c r="D18" s="81"/>
      <c r="E18" s="9">
        <f>-'Fane 4.1. Gen. krav - drift'!G25</f>
        <v>-214781.79270882485</v>
      </c>
      <c r="F18" s="8" t="s">
        <v>3</v>
      </c>
      <c r="G18" s="1"/>
    </row>
    <row r="19" spans="1:7" x14ac:dyDescent="0.45">
      <c r="A19" s="1"/>
      <c r="B19" s="79" t="s">
        <v>28</v>
      </c>
      <c r="C19" s="80"/>
      <c r="D19" s="81"/>
      <c r="E19" s="9">
        <f>-'Fane 4.2. Gen. krav - anlæg'!G25</f>
        <v>-92080.791725151415</v>
      </c>
      <c r="F19" s="8" t="s">
        <v>3</v>
      </c>
      <c r="G19" s="1"/>
    </row>
    <row r="20" spans="1:7" x14ac:dyDescent="0.45">
      <c r="A20" s="1"/>
      <c r="B20" s="82" t="s">
        <v>20</v>
      </c>
      <c r="C20" s="83"/>
      <c r="D20" s="84"/>
      <c r="E20" s="10">
        <f>SUM(E9:E19)</f>
        <v>19804903.702149861</v>
      </c>
      <c r="F20" s="11" t="s">
        <v>3</v>
      </c>
      <c r="G20" s="1"/>
    </row>
    <row r="21" spans="1:7" x14ac:dyDescent="0.45">
      <c r="A21" s="1"/>
      <c r="B21" s="91" t="s">
        <v>12</v>
      </c>
      <c r="C21" s="92"/>
      <c r="D21" s="92"/>
      <c r="E21" s="49"/>
      <c r="F21" s="20"/>
      <c r="G21" s="1"/>
    </row>
    <row r="22" spans="1:7" x14ac:dyDescent="0.45">
      <c r="A22" s="1"/>
      <c r="B22" s="85" t="s">
        <v>12</v>
      </c>
      <c r="C22" s="86"/>
      <c r="D22" s="87"/>
      <c r="E22" s="10">
        <v>8788210.4326792061</v>
      </c>
      <c r="F22" s="11" t="s">
        <v>3</v>
      </c>
      <c r="G22" s="1"/>
    </row>
    <row r="23" spans="1:7" ht="15" customHeight="1" x14ac:dyDescent="0.45">
      <c r="A23" s="1"/>
      <c r="B23" s="91" t="s">
        <v>99</v>
      </c>
      <c r="C23" s="92"/>
      <c r="D23" s="92"/>
      <c r="E23" s="49"/>
      <c r="F23" s="49"/>
      <c r="G23" s="1"/>
    </row>
    <row r="24" spans="1:7" ht="14.25" customHeight="1" x14ac:dyDescent="0.45">
      <c r="A24" s="1"/>
      <c r="B24" s="76" t="s">
        <v>95</v>
      </c>
      <c r="C24" s="77"/>
      <c r="D24" s="78"/>
      <c r="E24" s="9">
        <v>0</v>
      </c>
      <c r="F24" s="8" t="s">
        <v>3</v>
      </c>
      <c r="G24" s="1"/>
    </row>
    <row r="25" spans="1:7" ht="14.25" customHeight="1" x14ac:dyDescent="0.45">
      <c r="A25" s="1"/>
      <c r="B25" s="76" t="s">
        <v>96</v>
      </c>
      <c r="C25" s="77"/>
      <c r="D25" s="78"/>
      <c r="E25" s="9">
        <v>0</v>
      </c>
      <c r="F25" s="8" t="s">
        <v>3</v>
      </c>
      <c r="G25" s="1"/>
    </row>
    <row r="26" spans="1:7" x14ac:dyDescent="0.45">
      <c r="A26" s="1"/>
      <c r="B26" s="88" t="s">
        <v>100</v>
      </c>
      <c r="C26" s="89"/>
      <c r="D26" s="89"/>
      <c r="E26" s="10">
        <v>0</v>
      </c>
      <c r="F26" s="11" t="s">
        <v>3</v>
      </c>
      <c r="G26" s="1"/>
    </row>
    <row r="27" spans="1:7" ht="14.25" customHeight="1" x14ac:dyDescent="0.45">
      <c r="A27" s="1"/>
      <c r="B27" s="48" t="s">
        <v>228</v>
      </c>
      <c r="C27" s="49"/>
      <c r="D27" s="49"/>
      <c r="E27" s="49"/>
      <c r="F27" s="49"/>
      <c r="G27" s="1"/>
    </row>
    <row r="28" spans="1:7" ht="13.15" customHeight="1" x14ac:dyDescent="0.45">
      <c r="A28" s="1"/>
      <c r="B28" s="88" t="s">
        <v>229</v>
      </c>
      <c r="C28" s="89"/>
      <c r="D28" s="90"/>
      <c r="E28" s="10">
        <v>524638</v>
      </c>
      <c r="F28" s="11" t="s">
        <v>3</v>
      </c>
      <c r="G28" s="1"/>
    </row>
    <row r="29" spans="1:7" x14ac:dyDescent="0.45">
      <c r="A29" s="1"/>
      <c r="B29" s="48" t="s">
        <v>230</v>
      </c>
      <c r="C29" s="49"/>
      <c r="D29" s="49"/>
      <c r="E29" s="49"/>
      <c r="F29" s="20"/>
      <c r="G29" s="1"/>
    </row>
    <row r="30" spans="1:7" ht="15" customHeight="1" x14ac:dyDescent="0.45">
      <c r="A30" s="1"/>
      <c r="B30" s="88" t="s">
        <v>231</v>
      </c>
      <c r="C30" s="89"/>
      <c r="D30" s="90"/>
      <c r="E30" s="10">
        <v>78141.863139920169</v>
      </c>
      <c r="F30" s="11" t="s">
        <v>3</v>
      </c>
      <c r="G30" s="1"/>
    </row>
    <row r="31" spans="1:7" x14ac:dyDescent="0.45">
      <c r="A31" s="1"/>
      <c r="B31" s="48" t="s">
        <v>232</v>
      </c>
      <c r="C31" s="49"/>
      <c r="D31" s="49"/>
      <c r="E31" s="49"/>
      <c r="F31" s="20"/>
      <c r="G31" s="1"/>
    </row>
    <row r="32" spans="1:7" x14ac:dyDescent="0.45">
      <c r="A32" s="1"/>
      <c r="B32" s="85" t="s">
        <v>233</v>
      </c>
      <c r="C32" s="86"/>
      <c r="D32" s="87"/>
      <c r="E32" s="10">
        <v>0</v>
      </c>
      <c r="F32" s="11" t="s">
        <v>3</v>
      </c>
      <c r="G32" s="1"/>
    </row>
    <row r="33" spans="1:7" x14ac:dyDescent="0.45">
      <c r="A33" s="1"/>
      <c r="B33" s="48" t="s">
        <v>24</v>
      </c>
      <c r="C33" s="49"/>
      <c r="D33" s="49"/>
      <c r="E33" s="12">
        <f>SUM(E30,E26,E28,E22,E20,E32)</f>
        <v>29195893.997968987</v>
      </c>
      <c r="F33" s="13" t="s">
        <v>3</v>
      </c>
      <c r="G33" s="1"/>
    </row>
    <row r="34" spans="1:7" ht="28.15" customHeight="1" x14ac:dyDescent="0.45">
      <c r="A34" s="1"/>
      <c r="B34" s="76" t="s">
        <v>179</v>
      </c>
      <c r="C34" s="77"/>
      <c r="D34" s="77"/>
      <c r="E34" s="77"/>
      <c r="F34" s="78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4" t="s">
        <v>138</v>
      </c>
      <c r="C1" s="74"/>
      <c r="D1" s="74"/>
      <c r="E1" s="74"/>
      <c r="F1" s="74"/>
      <c r="G1" s="74"/>
      <c r="H1" s="74"/>
      <c r="I1" s="1"/>
    </row>
    <row r="2" spans="1:9" ht="15" customHeight="1" x14ac:dyDescent="0.45">
      <c r="A2" s="1"/>
      <c r="B2" s="74"/>
      <c r="C2" s="74"/>
      <c r="D2" s="74"/>
      <c r="E2" s="74"/>
      <c r="F2" s="74"/>
      <c r="G2" s="74"/>
      <c r="H2" s="74"/>
      <c r="I2" s="1"/>
    </row>
    <row r="3" spans="1:9" ht="15" customHeight="1" x14ac:dyDescent="0.45">
      <c r="A3" s="1"/>
      <c r="B3" s="74"/>
      <c r="C3" s="74"/>
      <c r="D3" s="74"/>
      <c r="E3" s="74"/>
      <c r="F3" s="74"/>
      <c r="G3" s="74"/>
      <c r="H3" s="74"/>
      <c r="I3" s="1"/>
    </row>
    <row r="4" spans="1:9" x14ac:dyDescent="0.45">
      <c r="A4" s="1"/>
      <c r="B4" s="97" t="s">
        <v>64</v>
      </c>
      <c r="C4" s="98"/>
      <c r="D4" s="98"/>
      <c r="E4" s="98"/>
      <c r="F4" s="98"/>
      <c r="G4" s="98"/>
      <c r="H4" s="99"/>
      <c r="I4" s="1"/>
    </row>
    <row r="5" spans="1:9" x14ac:dyDescent="0.45">
      <c r="A5" s="1"/>
      <c r="B5" s="100" t="s">
        <v>53</v>
      </c>
      <c r="C5" s="101"/>
      <c r="D5" s="101"/>
      <c r="E5" s="101"/>
      <c r="F5" s="102"/>
      <c r="G5" s="24">
        <v>8936688.2985880561</v>
      </c>
      <c r="H5" s="14" t="s">
        <v>3</v>
      </c>
      <c r="I5" s="1"/>
    </row>
    <row r="6" spans="1:9" x14ac:dyDescent="0.45">
      <c r="A6" s="1"/>
      <c r="B6" s="100" t="s">
        <v>54</v>
      </c>
      <c r="C6" s="101"/>
      <c r="D6" s="101"/>
      <c r="E6" s="101"/>
      <c r="F6" s="102"/>
      <c r="G6" s="24">
        <f>G5*'Fane 12. Nøgletal'!C27</f>
        <v>178733.76597176114</v>
      </c>
      <c r="H6" s="14" t="s">
        <v>3</v>
      </c>
      <c r="I6" s="1"/>
    </row>
    <row r="7" spans="1:9" x14ac:dyDescent="0.45">
      <c r="A7" s="1"/>
      <c r="B7" s="48"/>
      <c r="C7" s="49"/>
      <c r="D7" s="49"/>
      <c r="E7" s="49"/>
      <c r="F7" s="49"/>
      <c r="G7" s="49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7" t="s">
        <v>65</v>
      </c>
      <c r="C9" s="98"/>
      <c r="D9" s="98"/>
      <c r="E9" s="98"/>
      <c r="F9" s="98"/>
      <c r="G9" s="98"/>
      <c r="H9" s="99"/>
      <c r="I9" s="1"/>
    </row>
    <row r="10" spans="1:9" x14ac:dyDescent="0.45">
      <c r="A10" s="1"/>
      <c r="B10" s="100" t="s">
        <v>55</v>
      </c>
      <c r="C10" s="101"/>
      <c r="D10" s="101"/>
      <c r="E10" s="101"/>
      <c r="F10" s="102"/>
      <c r="G10" s="24">
        <f>(G5-G6)*(1+'Fane 12. Nøgletal'!C9)</f>
        <v>8869180.5551805217</v>
      </c>
      <c r="H10" s="14" t="s">
        <v>3</v>
      </c>
      <c r="I10" s="1"/>
    </row>
    <row r="11" spans="1:9" x14ac:dyDescent="0.45">
      <c r="A11" s="1"/>
      <c r="B11" s="103" t="s">
        <v>56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45">
      <c r="A12" s="1"/>
      <c r="B12" s="100" t="s">
        <v>57</v>
      </c>
      <c r="C12" s="101"/>
      <c r="D12" s="101"/>
      <c r="E12" s="101"/>
      <c r="F12" s="102"/>
      <c r="G12" s="24">
        <f>(G10+G11)*'Fane 12. Nøgletal'!C27</f>
        <v>177383.61110361043</v>
      </c>
      <c r="H12" s="14" t="s">
        <v>3</v>
      </c>
      <c r="I12" s="1"/>
    </row>
    <row r="13" spans="1:9" x14ac:dyDescent="0.45">
      <c r="A13" s="1"/>
      <c r="B13" s="48"/>
      <c r="C13" s="49"/>
      <c r="D13" s="49"/>
      <c r="E13" s="49"/>
      <c r="F13" s="49"/>
      <c r="G13" s="49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7" t="s">
        <v>66</v>
      </c>
      <c r="C15" s="98"/>
      <c r="D15" s="98"/>
      <c r="E15" s="98"/>
      <c r="F15" s="98"/>
      <c r="G15" s="98"/>
      <c r="H15" s="99"/>
      <c r="I15" s="1"/>
    </row>
    <row r="16" spans="1:9" x14ac:dyDescent="0.45">
      <c r="A16" s="1"/>
      <c r="B16" s="100" t="s">
        <v>58</v>
      </c>
      <c r="C16" s="101"/>
      <c r="D16" s="101"/>
      <c r="E16" s="101"/>
      <c r="F16" s="102"/>
      <c r="G16" s="24">
        <f>(G10-G12)*(1+'Fane 12. Nøgletal'!C11)</f>
        <v>8838688.3124318104</v>
      </c>
      <c r="H16" s="14" t="s">
        <v>3</v>
      </c>
      <c r="I16" s="1"/>
    </row>
    <row r="17" spans="1:9" x14ac:dyDescent="0.45">
      <c r="A17" s="1"/>
      <c r="B17" s="100" t="s">
        <v>148</v>
      </c>
      <c r="C17" s="101"/>
      <c r="D17" s="101"/>
      <c r="E17" s="101"/>
      <c r="F17" s="102"/>
      <c r="G17" s="24">
        <v>0</v>
      </c>
      <c r="H17" s="14" t="s">
        <v>3</v>
      </c>
      <c r="I17" s="1"/>
    </row>
    <row r="18" spans="1:9" x14ac:dyDescent="0.45">
      <c r="A18" s="1"/>
      <c r="B18" s="103" t="s">
        <v>59</v>
      </c>
      <c r="C18" s="104"/>
      <c r="D18" s="104"/>
      <c r="E18" s="104"/>
      <c r="F18" s="105"/>
      <c r="G18" s="24">
        <v>0</v>
      </c>
      <c r="H18" s="14" t="s">
        <v>3</v>
      </c>
      <c r="I18" s="1"/>
    </row>
    <row r="19" spans="1:9" x14ac:dyDescent="0.45">
      <c r="A19" s="1"/>
      <c r="B19" s="100" t="s">
        <v>60</v>
      </c>
      <c r="C19" s="101"/>
      <c r="D19" s="101"/>
      <c r="E19" s="101"/>
      <c r="F19" s="102"/>
      <c r="G19" s="24">
        <f>SUM(G16:G18)*'Fane 12. Nøgletal'!C27</f>
        <v>176773.76624863621</v>
      </c>
      <c r="H19" s="14" t="s">
        <v>3</v>
      </c>
      <c r="I19" s="1"/>
    </row>
    <row r="20" spans="1:9" x14ac:dyDescent="0.45">
      <c r="A20" s="1"/>
      <c r="B20" s="48"/>
      <c r="C20" s="49"/>
      <c r="D20" s="49"/>
      <c r="E20" s="49"/>
      <c r="F20" s="49"/>
      <c r="G20" s="49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7" t="s">
        <v>67</v>
      </c>
      <c r="C22" s="98"/>
      <c r="D22" s="98"/>
      <c r="E22" s="98"/>
      <c r="F22" s="98"/>
      <c r="G22" s="98"/>
      <c r="H22" s="99"/>
      <c r="I22" s="1"/>
    </row>
    <row r="23" spans="1:9" x14ac:dyDescent="0.45">
      <c r="A23" s="1"/>
      <c r="B23" s="100" t="s">
        <v>61</v>
      </c>
      <c r="C23" s="101"/>
      <c r="D23" s="101"/>
      <c r="E23" s="101"/>
      <c r="F23" s="102"/>
      <c r="G23" s="24">
        <f>(SUM(G16:G18)-G19)*(1+'Fane 12. Nøgletal'!C11)</f>
        <v>8808300.9020136688</v>
      </c>
      <c r="H23" s="14" t="s">
        <v>3</v>
      </c>
      <c r="I23" s="1"/>
    </row>
    <row r="24" spans="1:9" x14ac:dyDescent="0.45">
      <c r="A24" s="1"/>
      <c r="B24" s="103" t="s">
        <v>62</v>
      </c>
      <c r="C24" s="104"/>
      <c r="D24" s="104"/>
      <c r="E24" s="104"/>
      <c r="F24" s="105"/>
      <c r="G24" s="24">
        <v>1930788.7334275723</v>
      </c>
      <c r="H24" s="14" t="s">
        <v>3</v>
      </c>
      <c r="I24" s="1"/>
    </row>
    <row r="25" spans="1:9" x14ac:dyDescent="0.45">
      <c r="A25" s="1"/>
      <c r="B25" s="100" t="s">
        <v>63</v>
      </c>
      <c r="C25" s="101"/>
      <c r="D25" s="101"/>
      <c r="E25" s="101"/>
      <c r="F25" s="102"/>
      <c r="G25" s="24">
        <f>(G23+G24)*'Fane 12. Nøgletal'!C27</f>
        <v>214781.79270882485</v>
      </c>
      <c r="H25" s="14" t="s">
        <v>3</v>
      </c>
      <c r="I25" s="1"/>
    </row>
    <row r="26" spans="1:9" x14ac:dyDescent="0.45">
      <c r="A26" s="1"/>
      <c r="B26" s="48"/>
      <c r="C26" s="49"/>
      <c r="D26" s="49"/>
      <c r="E26" s="49"/>
      <c r="F26" s="49"/>
      <c r="G26" s="49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7" t="s">
        <v>222</v>
      </c>
      <c r="C28" s="98"/>
      <c r="D28" s="98"/>
      <c r="E28" s="98"/>
      <c r="F28" s="98"/>
      <c r="G28" s="98"/>
      <c r="H28" s="99"/>
      <c r="I28" s="1"/>
    </row>
    <row r="29" spans="1:9" x14ac:dyDescent="0.45">
      <c r="A29" s="1"/>
      <c r="B29" s="100" t="s">
        <v>70</v>
      </c>
      <c r="C29" s="101"/>
      <c r="D29" s="101"/>
      <c r="E29" s="101"/>
      <c r="F29" s="102"/>
      <c r="G29" s="24">
        <f>(G23+G24-G25)*(1+'Fane 12. Nøgletal'!C13)</f>
        <v>10652704.398413751</v>
      </c>
      <c r="H29" s="14" t="s">
        <v>3</v>
      </c>
      <c r="I29" s="1"/>
    </row>
    <row r="30" spans="1:9" x14ac:dyDescent="0.45">
      <c r="A30" s="1"/>
      <c r="B30" s="100" t="s">
        <v>187</v>
      </c>
      <c r="C30" s="101"/>
      <c r="D30" s="101"/>
      <c r="E30" s="101"/>
      <c r="F30" s="102"/>
      <c r="G30" s="24">
        <f>SUM('Fane 2.1. Økonomisk ramme 2021'!C10,'Fane 2.1. Økonomisk ramme 2021'!C12,'Fane 2.1. Økonomisk ramme 2021'!C14)*(1+'Fane 12. Nøgletal'!C13)</f>
        <v>45734.835668760003</v>
      </c>
      <c r="H30" s="14" t="s">
        <v>3</v>
      </c>
      <c r="I30" s="1"/>
    </row>
    <row r="31" spans="1:9" x14ac:dyDescent="0.45">
      <c r="A31" s="1"/>
      <c r="B31" s="100" t="s">
        <v>199</v>
      </c>
      <c r="C31" s="101"/>
      <c r="D31" s="101"/>
      <c r="E31" s="101"/>
      <c r="F31" s="102"/>
      <c r="G31" s="24">
        <f>(G29+G30)*'Fane 12. Nøgletal'!C27</f>
        <v>213968.78468165023</v>
      </c>
      <c r="H31" s="14" t="s">
        <v>3</v>
      </c>
      <c r="I31" s="1"/>
    </row>
    <row r="32" spans="1:9" x14ac:dyDescent="0.45">
      <c r="A32" s="1"/>
      <c r="B32" s="48"/>
      <c r="C32" s="49"/>
      <c r="D32" s="49"/>
      <c r="E32" s="49"/>
      <c r="F32" s="49"/>
      <c r="G32" s="49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7" t="s">
        <v>223</v>
      </c>
      <c r="C34" s="98"/>
      <c r="D34" s="98"/>
      <c r="E34" s="98"/>
      <c r="F34" s="98"/>
      <c r="G34" s="98"/>
      <c r="H34" s="99"/>
      <c r="I34" s="1"/>
    </row>
    <row r="35" spans="1:9" x14ac:dyDescent="0.45">
      <c r="A35" s="1"/>
      <c r="B35" s="100" t="s">
        <v>90</v>
      </c>
      <c r="C35" s="101"/>
      <c r="D35" s="101"/>
      <c r="E35" s="101"/>
      <c r="F35" s="102"/>
      <c r="G35" s="24">
        <f>(G29+G30-G31)*(1+'Fane 12. Nøgletal'!C13)</f>
        <v>10612380.988883551</v>
      </c>
      <c r="H35" s="14" t="s">
        <v>3</v>
      </c>
      <c r="I35" s="1"/>
    </row>
    <row r="36" spans="1:9" x14ac:dyDescent="0.45">
      <c r="A36" s="1"/>
      <c r="B36" s="100" t="s">
        <v>102</v>
      </c>
      <c r="C36" s="101"/>
      <c r="D36" s="101"/>
      <c r="E36" s="101"/>
      <c r="F36" s="102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100" t="s">
        <v>224</v>
      </c>
      <c r="C37" s="101"/>
      <c r="D37" s="101"/>
      <c r="E37" s="101"/>
      <c r="F37" s="102"/>
      <c r="G37" s="24">
        <f>(G35+G36)*'Fane 12. Nøgletal'!C27</f>
        <v>212247.61977767103</v>
      </c>
      <c r="H37" s="14" t="s">
        <v>3</v>
      </c>
      <c r="I37" s="1"/>
    </row>
    <row r="38" spans="1:9" x14ac:dyDescent="0.45">
      <c r="A38" s="1"/>
      <c r="B38" s="48"/>
      <c r="C38" s="49"/>
      <c r="D38" s="49"/>
      <c r="E38" s="49"/>
      <c r="F38" s="49"/>
      <c r="G38" s="49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7" t="s">
        <v>91</v>
      </c>
      <c r="C40" s="98"/>
      <c r="D40" s="98"/>
      <c r="E40" s="98"/>
      <c r="F40" s="98"/>
      <c r="G40" s="98"/>
      <c r="H40" s="99"/>
      <c r="I40" s="1"/>
    </row>
    <row r="41" spans="1:9" x14ac:dyDescent="0.45">
      <c r="A41" s="1"/>
      <c r="B41" s="100" t="s">
        <v>89</v>
      </c>
      <c r="C41" s="101"/>
      <c r="D41" s="101"/>
      <c r="E41" s="101"/>
      <c r="F41" s="102"/>
      <c r="G41" s="24">
        <f>(G35+G36-G37)*(1+'Fane 12. Nøgletal'!C13)</f>
        <v>10527014.996208973</v>
      </c>
      <c r="H41" s="14" t="s">
        <v>3</v>
      </c>
      <c r="I41" s="1"/>
    </row>
    <row r="42" spans="1:9" x14ac:dyDescent="0.45">
      <c r="A42" s="1"/>
      <c r="B42" s="100" t="s">
        <v>103</v>
      </c>
      <c r="C42" s="101"/>
      <c r="D42" s="101"/>
      <c r="E42" s="101"/>
      <c r="F42" s="102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100" t="s">
        <v>71</v>
      </c>
      <c r="C43" s="101"/>
      <c r="D43" s="101"/>
      <c r="E43" s="101"/>
      <c r="F43" s="102"/>
      <c r="G43" s="24">
        <f>(G41+G42)*'Fane 12. Nøgletal'!C27</f>
        <v>210540.29992417948</v>
      </c>
      <c r="H43" s="14" t="s">
        <v>3</v>
      </c>
      <c r="I43" s="1"/>
    </row>
    <row r="44" spans="1:9" x14ac:dyDescent="0.45">
      <c r="A44" s="1"/>
      <c r="B44" s="48"/>
      <c r="C44" s="49"/>
      <c r="D44" s="49"/>
      <c r="E44" s="49"/>
      <c r="F44" s="49"/>
      <c r="G44" s="49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7" t="s">
        <v>188</v>
      </c>
      <c r="C46" s="98"/>
      <c r="D46" s="98"/>
      <c r="E46" s="98"/>
      <c r="F46" s="98"/>
      <c r="G46" s="98"/>
      <c r="H46" s="99"/>
      <c r="I46" s="1"/>
    </row>
    <row r="47" spans="1:9" x14ac:dyDescent="0.45">
      <c r="A47" s="1"/>
      <c r="B47" s="100" t="s">
        <v>189</v>
      </c>
      <c r="C47" s="101"/>
      <c r="D47" s="101"/>
      <c r="E47" s="101"/>
      <c r="F47" s="102"/>
      <c r="G47" s="24">
        <f>(G41+G42-G43)*(1+'Fane 12. Nøgletal'!C13)</f>
        <v>10442335.687579468</v>
      </c>
      <c r="H47" s="14" t="s">
        <v>3</v>
      </c>
      <c r="I47" s="1"/>
    </row>
    <row r="48" spans="1:9" x14ac:dyDescent="0.45">
      <c r="A48" s="1"/>
      <c r="B48" s="100" t="s">
        <v>190</v>
      </c>
      <c r="C48" s="101"/>
      <c r="D48" s="101"/>
      <c r="E48" s="101"/>
      <c r="F48" s="102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100" t="s">
        <v>191</v>
      </c>
      <c r="C49" s="101"/>
      <c r="D49" s="101"/>
      <c r="E49" s="101"/>
      <c r="F49" s="102"/>
      <c r="G49" s="24">
        <f>(G47+G48)*'Fane 12. Nøgletal'!C27</f>
        <v>208846.71375158936</v>
      </c>
      <c r="H49" s="14" t="s">
        <v>3</v>
      </c>
      <c r="I49" s="1"/>
    </row>
    <row r="50" spans="1:9" x14ac:dyDescent="0.45">
      <c r="A50" s="1"/>
      <c r="B50" s="48"/>
      <c r="C50" s="49"/>
      <c r="D50" s="49"/>
      <c r="E50" s="49"/>
      <c r="F50" s="49"/>
      <c r="G50" s="49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6" t="s">
        <v>139</v>
      </c>
      <c r="C2" s="106"/>
      <c r="D2" s="106"/>
      <c r="E2" s="106"/>
      <c r="F2" s="106"/>
      <c r="G2" s="106"/>
      <c r="H2" s="106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7" t="s">
        <v>68</v>
      </c>
      <c r="C4" s="98"/>
      <c r="D4" s="98"/>
      <c r="E4" s="98"/>
      <c r="F4" s="98"/>
      <c r="G4" s="98"/>
      <c r="H4" s="99"/>
      <c r="I4" s="1"/>
    </row>
    <row r="5" spans="1:9" x14ac:dyDescent="0.45">
      <c r="A5" s="1"/>
      <c r="B5" s="100" t="s">
        <v>72</v>
      </c>
      <c r="C5" s="101"/>
      <c r="D5" s="101"/>
      <c r="E5" s="101"/>
      <c r="F5" s="102"/>
      <c r="G5" s="24">
        <v>8574042.1146008968</v>
      </c>
      <c r="H5" s="14" t="s">
        <v>3</v>
      </c>
      <c r="I5" s="1"/>
    </row>
    <row r="6" spans="1:9" x14ac:dyDescent="0.45">
      <c r="A6" s="1"/>
      <c r="B6" s="100" t="s">
        <v>69</v>
      </c>
      <c r="C6" s="101"/>
      <c r="D6" s="101"/>
      <c r="E6" s="101"/>
      <c r="F6" s="102"/>
      <c r="G6" s="24">
        <f>G5*'Fane 12. Nøgletal'!C18</f>
        <v>78023.783242868172</v>
      </c>
      <c r="H6" s="14" t="s">
        <v>3</v>
      </c>
      <c r="I6" s="1"/>
    </row>
    <row r="7" spans="1:9" x14ac:dyDescent="0.45">
      <c r="A7" s="1"/>
      <c r="B7" s="48"/>
      <c r="C7" s="49"/>
      <c r="D7" s="49"/>
      <c r="E7" s="49"/>
      <c r="F7" s="49"/>
      <c r="G7" s="49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7" t="s">
        <v>73</v>
      </c>
      <c r="C9" s="98"/>
      <c r="D9" s="98"/>
      <c r="E9" s="98"/>
      <c r="F9" s="98"/>
      <c r="G9" s="98"/>
      <c r="H9" s="99"/>
      <c r="I9" s="1"/>
    </row>
    <row r="10" spans="1:9" x14ac:dyDescent="0.45">
      <c r="A10" s="1"/>
      <c r="B10" s="100" t="s">
        <v>74</v>
      </c>
      <c r="C10" s="101"/>
      <c r="D10" s="101"/>
      <c r="E10" s="101"/>
      <c r="F10" s="102"/>
      <c r="G10" s="24">
        <f>(G5-G6)*(1+'Fane 12. Nøgletal'!C9)</f>
        <v>8603917.764166275</v>
      </c>
      <c r="H10" s="14" t="s">
        <v>3</v>
      </c>
      <c r="I10" s="1"/>
    </row>
    <row r="11" spans="1:9" x14ac:dyDescent="0.45">
      <c r="A11" s="1"/>
      <c r="B11" s="103" t="s">
        <v>75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45">
      <c r="A12" s="1"/>
      <c r="B12" s="100" t="s">
        <v>76</v>
      </c>
      <c r="C12" s="101"/>
      <c r="D12" s="101"/>
      <c r="E12" s="101"/>
      <c r="F12" s="102"/>
      <c r="G12" s="24">
        <f>G10*'Fane 12. Nøgletal'!C18+G11*'Fane 12. Nøgletal'!C19</f>
        <v>78295.651653913112</v>
      </c>
      <c r="H12" s="14" t="s">
        <v>3</v>
      </c>
      <c r="I12" s="1"/>
    </row>
    <row r="13" spans="1:9" x14ac:dyDescent="0.45">
      <c r="A13" s="1"/>
      <c r="B13" s="48"/>
      <c r="C13" s="49"/>
      <c r="D13" s="49"/>
      <c r="E13" s="49"/>
      <c r="F13" s="49"/>
      <c r="G13" s="49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7" t="s">
        <v>77</v>
      </c>
      <c r="C15" s="98"/>
      <c r="D15" s="98"/>
      <c r="E15" s="98"/>
      <c r="F15" s="98"/>
      <c r="G15" s="98"/>
      <c r="H15" s="99"/>
      <c r="I15" s="1"/>
    </row>
    <row r="16" spans="1:9" x14ac:dyDescent="0.45">
      <c r="A16" s="1"/>
      <c r="B16" s="100" t="s">
        <v>78</v>
      </c>
      <c r="C16" s="101"/>
      <c r="D16" s="101"/>
      <c r="E16" s="101"/>
      <c r="F16" s="102"/>
      <c r="G16" s="24">
        <f>(G10+G11-G12)*(1+'Fane 12. Nøgletal'!C11)</f>
        <v>8669705.1262138188</v>
      </c>
      <c r="H16" s="14" t="s">
        <v>3</v>
      </c>
      <c r="I16" s="1"/>
    </row>
    <row r="17" spans="1:9" x14ac:dyDescent="0.45">
      <c r="A17" s="1"/>
      <c r="B17" s="100" t="s">
        <v>149</v>
      </c>
      <c r="C17" s="101"/>
      <c r="D17" s="101"/>
      <c r="E17" s="101"/>
      <c r="F17" s="102"/>
      <c r="G17" s="24">
        <v>183306.52407406602</v>
      </c>
      <c r="H17" s="14" t="s">
        <v>3</v>
      </c>
      <c r="I17" s="1"/>
    </row>
    <row r="18" spans="1:9" x14ac:dyDescent="0.45">
      <c r="A18" s="1"/>
      <c r="B18" s="103" t="s">
        <v>79</v>
      </c>
      <c r="C18" s="104"/>
      <c r="D18" s="104"/>
      <c r="E18" s="104"/>
      <c r="F18" s="105"/>
      <c r="G18" s="24">
        <v>487592.40013978333</v>
      </c>
      <c r="H18" s="14" t="s">
        <v>3</v>
      </c>
      <c r="I18" s="1"/>
    </row>
    <row r="19" spans="1:9" x14ac:dyDescent="0.45">
      <c r="A19" s="1"/>
      <c r="B19" s="100" t="s">
        <v>80</v>
      </c>
      <c r="C19" s="101"/>
      <c r="D19" s="101"/>
      <c r="E19" s="101"/>
      <c r="F19" s="102"/>
      <c r="G19" s="24">
        <f>SUM(G16:G18)*'Fane 12. Nøgletal'!C20</f>
        <v>81263.255238720711</v>
      </c>
      <c r="H19" s="14" t="s">
        <v>3</v>
      </c>
      <c r="I19" s="1"/>
    </row>
    <row r="20" spans="1:9" x14ac:dyDescent="0.45">
      <c r="A20" s="1"/>
      <c r="B20" s="48"/>
      <c r="C20" s="49"/>
      <c r="D20" s="49"/>
      <c r="E20" s="49"/>
      <c r="F20" s="49"/>
      <c r="G20" s="49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7" t="s">
        <v>81</v>
      </c>
      <c r="C22" s="98"/>
      <c r="D22" s="98"/>
      <c r="E22" s="98"/>
      <c r="F22" s="98"/>
      <c r="G22" s="98"/>
      <c r="H22" s="99"/>
      <c r="I22" s="1"/>
    </row>
    <row r="23" spans="1:9" x14ac:dyDescent="0.45">
      <c r="A23" s="1"/>
      <c r="B23" s="100" t="s">
        <v>82</v>
      </c>
      <c r="C23" s="101"/>
      <c r="D23" s="101"/>
      <c r="E23" s="101"/>
      <c r="F23" s="102"/>
      <c r="G23" s="24">
        <f>(SUM(G16:G18)-G19)*(1+'Fane 12. Nøgletal'!C11)</f>
        <v>9415823.6546276398</v>
      </c>
      <c r="H23" s="14" t="s">
        <v>3</v>
      </c>
      <c r="I23" s="1"/>
    </row>
    <row r="24" spans="1:9" x14ac:dyDescent="0.45">
      <c r="A24" s="1"/>
      <c r="B24" s="103" t="s">
        <v>83</v>
      </c>
      <c r="C24" s="104"/>
      <c r="D24" s="104"/>
      <c r="E24" s="104"/>
      <c r="F24" s="105"/>
      <c r="G24" s="24">
        <v>357856.54682714643</v>
      </c>
      <c r="H24" s="14" t="s">
        <v>3</v>
      </c>
      <c r="I24" s="1"/>
    </row>
    <row r="25" spans="1:9" x14ac:dyDescent="0.45">
      <c r="A25" s="1"/>
      <c r="B25" s="100" t="s">
        <v>84</v>
      </c>
      <c r="C25" s="101"/>
      <c r="D25" s="101"/>
      <c r="E25" s="101"/>
      <c r="F25" s="102"/>
      <c r="G25" s="24">
        <f>G23*'Fane 12. Nøgletal'!C20+G24*'Fane 12. Nøgletal'!C21</f>
        <v>92080.791725151415</v>
      </c>
      <c r="H25" s="14" t="s">
        <v>3</v>
      </c>
      <c r="I25" s="1"/>
    </row>
    <row r="26" spans="1:9" x14ac:dyDescent="0.45">
      <c r="A26" s="1"/>
      <c r="B26" s="48"/>
      <c r="C26" s="49"/>
      <c r="D26" s="49"/>
      <c r="E26" s="49"/>
      <c r="F26" s="49"/>
      <c r="G26" s="49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7" t="s">
        <v>220</v>
      </c>
      <c r="C28" s="98"/>
      <c r="D28" s="98"/>
      <c r="E28" s="98"/>
      <c r="F28" s="98"/>
      <c r="G28" s="98"/>
      <c r="H28" s="99"/>
      <c r="I28" s="1"/>
    </row>
    <row r="29" spans="1:9" x14ac:dyDescent="0.45">
      <c r="A29" s="1"/>
      <c r="B29" s="100" t="s">
        <v>85</v>
      </c>
      <c r="C29" s="101"/>
      <c r="D29" s="101"/>
      <c r="E29" s="101"/>
      <c r="F29" s="102"/>
      <c r="G29" s="24">
        <f>(G23+G24-G25)*(1+'Fane 12. Nøgletal'!C13)</f>
        <v>9799714.9225283377</v>
      </c>
      <c r="H29" s="14" t="s">
        <v>3</v>
      </c>
      <c r="I29" s="1"/>
    </row>
    <row r="30" spans="1:9" x14ac:dyDescent="0.45">
      <c r="A30" s="1"/>
      <c r="B30" s="100" t="s">
        <v>192</v>
      </c>
      <c r="C30" s="101"/>
      <c r="D30" s="101"/>
      <c r="E30" s="101"/>
      <c r="F30" s="102"/>
      <c r="G30" s="24">
        <f>SUM('Fane 2.1. Økonomisk ramme 2021'!C11,'Fane 2.1. Økonomisk ramme 2021'!C13,'Fane 2.1. Økonomisk ramme 2021'!C15)*(1+'Fane 12. Nøgletal'!C13)</f>
        <v>124098.07909784776</v>
      </c>
      <c r="H30" s="14" t="s">
        <v>3</v>
      </c>
      <c r="I30" s="1"/>
    </row>
    <row r="31" spans="1:9" x14ac:dyDescent="0.45">
      <c r="A31" s="1"/>
      <c r="B31" s="100" t="s">
        <v>221</v>
      </c>
      <c r="C31" s="101"/>
      <c r="D31" s="101"/>
      <c r="E31" s="101"/>
      <c r="F31" s="102"/>
      <c r="G31" s="24">
        <f>(G29+G30)*'Fane 12. Nøgletal'!C22</f>
        <v>272904.85754472011</v>
      </c>
      <c r="H31" s="14" t="s">
        <v>3</v>
      </c>
      <c r="I31" s="1"/>
    </row>
    <row r="32" spans="1:9" x14ac:dyDescent="0.45">
      <c r="A32" s="1"/>
      <c r="B32" s="48"/>
      <c r="C32" s="49"/>
      <c r="D32" s="49"/>
      <c r="E32" s="49"/>
      <c r="F32" s="49"/>
      <c r="G32" s="49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7" t="s">
        <v>225</v>
      </c>
      <c r="C34" s="98"/>
      <c r="D34" s="98"/>
      <c r="E34" s="98"/>
      <c r="F34" s="98"/>
      <c r="G34" s="98"/>
      <c r="H34" s="99"/>
      <c r="I34" s="1"/>
    </row>
    <row r="35" spans="1:9" x14ac:dyDescent="0.45">
      <c r="A35" s="1"/>
      <c r="B35" s="100" t="s">
        <v>88</v>
      </c>
      <c r="C35" s="101"/>
      <c r="D35" s="101"/>
      <c r="E35" s="101"/>
      <c r="F35" s="102"/>
      <c r="G35" s="24">
        <f>(G29+G30-G31)*(1+'Fane 12. Nøgletal'!C13)</f>
        <v>9768649.2234392595</v>
      </c>
      <c r="H35" s="14" t="s">
        <v>3</v>
      </c>
      <c r="I35" s="1"/>
    </row>
    <row r="36" spans="1:9" x14ac:dyDescent="0.45">
      <c r="A36" s="1"/>
      <c r="B36" s="100" t="s">
        <v>107</v>
      </c>
      <c r="C36" s="101"/>
      <c r="D36" s="101"/>
      <c r="E36" s="101"/>
      <c r="F36" s="102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100" t="s">
        <v>226</v>
      </c>
      <c r="C37" s="101"/>
      <c r="D37" s="101"/>
      <c r="E37" s="101"/>
      <c r="F37" s="102"/>
      <c r="G37" s="24">
        <f>(G35+G36)*'Fane 12. Nøgletal'!C22</f>
        <v>268637.85364457965</v>
      </c>
      <c r="H37" s="14" t="s">
        <v>3</v>
      </c>
      <c r="I37" s="1"/>
    </row>
    <row r="38" spans="1:9" x14ac:dyDescent="0.45">
      <c r="A38" s="1"/>
      <c r="B38" s="48"/>
      <c r="C38" s="49"/>
      <c r="D38" s="49"/>
      <c r="E38" s="49"/>
      <c r="F38" s="49"/>
      <c r="G38" s="49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7" t="s">
        <v>92</v>
      </c>
      <c r="C40" s="98"/>
      <c r="D40" s="98"/>
      <c r="E40" s="98"/>
      <c r="F40" s="98"/>
      <c r="G40" s="98"/>
      <c r="H40" s="99"/>
      <c r="I40" s="1"/>
    </row>
    <row r="41" spans="1:9" x14ac:dyDescent="0.45">
      <c r="A41" s="1"/>
      <c r="B41" s="100" t="s">
        <v>87</v>
      </c>
      <c r="C41" s="101"/>
      <c r="D41" s="101"/>
      <c r="E41" s="101"/>
      <c r="F41" s="102"/>
      <c r="G41" s="24">
        <f>(G35+G36-G37)*(1+'Fane 12. Nøgletal'!C13)</f>
        <v>9615911.5085061751</v>
      </c>
      <c r="H41" s="14" t="s">
        <v>3</v>
      </c>
      <c r="I41" s="1"/>
    </row>
    <row r="42" spans="1:9" x14ac:dyDescent="0.45">
      <c r="A42" s="1"/>
      <c r="B42" s="100" t="s">
        <v>108</v>
      </c>
      <c r="C42" s="101"/>
      <c r="D42" s="101"/>
      <c r="E42" s="101"/>
      <c r="F42" s="102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100" t="s">
        <v>86</v>
      </c>
      <c r="C43" s="101"/>
      <c r="D43" s="101"/>
      <c r="E43" s="101"/>
      <c r="F43" s="102"/>
      <c r="G43" s="24">
        <f>(G41+G42)*'Fane 12. Nøgletal'!C22</f>
        <v>264437.5664839198</v>
      </c>
      <c r="H43" s="14" t="s">
        <v>3</v>
      </c>
      <c r="I43" s="1"/>
    </row>
    <row r="44" spans="1:9" x14ac:dyDescent="0.45">
      <c r="A44" s="1"/>
      <c r="B44" s="48"/>
      <c r="C44" s="49"/>
      <c r="D44" s="49"/>
      <c r="E44" s="49"/>
      <c r="F44" s="49"/>
      <c r="G44" s="49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7" t="s">
        <v>193</v>
      </c>
      <c r="C46" s="98"/>
      <c r="D46" s="98"/>
      <c r="E46" s="98"/>
      <c r="F46" s="98"/>
      <c r="G46" s="98"/>
      <c r="H46" s="99"/>
      <c r="I46" s="1"/>
    </row>
    <row r="47" spans="1:9" x14ac:dyDescent="0.45">
      <c r="A47" s="1"/>
      <c r="B47" s="100" t="s">
        <v>194</v>
      </c>
      <c r="C47" s="101"/>
      <c r="D47" s="101"/>
      <c r="E47" s="101"/>
      <c r="F47" s="102"/>
      <c r="G47" s="24">
        <f>(G41+G42-G43)*(1+'Fane 12. Nøgletal'!C13)</f>
        <v>9465561.9241149258</v>
      </c>
      <c r="H47" s="14" t="s">
        <v>3</v>
      </c>
      <c r="I47" s="1"/>
    </row>
    <row r="48" spans="1:9" x14ac:dyDescent="0.45">
      <c r="A48" s="1"/>
      <c r="B48" s="100" t="s">
        <v>195</v>
      </c>
      <c r="C48" s="101"/>
      <c r="D48" s="101"/>
      <c r="E48" s="101"/>
      <c r="F48" s="102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100" t="s">
        <v>196</v>
      </c>
      <c r="C49" s="101"/>
      <c r="D49" s="101"/>
      <c r="E49" s="101"/>
      <c r="F49" s="102"/>
      <c r="G49" s="24">
        <f>(G47+G48)*'Fane 12. Nøgletal'!C22</f>
        <v>260302.95291316046</v>
      </c>
      <c r="H49" s="14" t="s">
        <v>3</v>
      </c>
      <c r="I49" s="1"/>
    </row>
    <row r="50" spans="1:9" x14ac:dyDescent="0.45">
      <c r="A50" s="1"/>
      <c r="B50" s="48"/>
      <c r="C50" s="49"/>
      <c r="D50" s="49"/>
      <c r="E50" s="49"/>
      <c r="F50" s="49"/>
      <c r="G50" s="49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4" t="s">
        <v>101</v>
      </c>
      <c r="C3" s="74"/>
      <c r="D3" s="74"/>
      <c r="E3" s="74"/>
      <c r="F3" s="74"/>
      <c r="G3" s="74"/>
      <c r="H3" s="74"/>
      <c r="I3" s="1"/>
    </row>
    <row r="4" spans="1:9" ht="15" customHeight="1" x14ac:dyDescent="0.4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7" t="s">
        <v>9</v>
      </c>
      <c r="C8" s="98"/>
      <c r="D8" s="98"/>
      <c r="E8" s="98"/>
      <c r="F8" s="98"/>
      <c r="G8" s="98"/>
      <c r="H8" s="99"/>
      <c r="I8" s="1"/>
    </row>
    <row r="9" spans="1:9" x14ac:dyDescent="0.45">
      <c r="A9" s="1"/>
      <c r="B9" s="100" t="s">
        <v>124</v>
      </c>
      <c r="C9" s="101"/>
      <c r="D9" s="101"/>
      <c r="E9" s="101"/>
      <c r="F9" s="102"/>
      <c r="G9" s="23">
        <v>1.0316673891231207E-2</v>
      </c>
      <c r="H9" s="14"/>
      <c r="I9" s="1"/>
    </row>
    <row r="10" spans="1:9" x14ac:dyDescent="0.45">
      <c r="A10" s="1"/>
      <c r="B10" s="100" t="s">
        <v>181</v>
      </c>
      <c r="C10" s="101"/>
      <c r="D10" s="101"/>
      <c r="E10" s="101"/>
      <c r="F10" s="102"/>
      <c r="G10" s="23">
        <v>1.846407720292852E-2</v>
      </c>
      <c r="H10" s="14"/>
      <c r="I10" s="1"/>
    </row>
    <row r="11" spans="1:9" x14ac:dyDescent="0.45">
      <c r="A11" s="1"/>
      <c r="B11" s="48"/>
      <c r="C11" s="49"/>
      <c r="D11" s="49"/>
      <c r="E11" s="49"/>
      <c r="F11" s="49"/>
      <c r="G11" s="49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7" t="s">
        <v>227</v>
      </c>
      <c r="C13" s="107"/>
      <c r="D13" s="107"/>
      <c r="E13" s="107"/>
      <c r="F13" s="107"/>
      <c r="G13" s="107"/>
      <c r="H13" s="107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2021-09-15T00:24:55Z</dcterms:modified>
</cp:coreProperties>
</file>