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Svinninge Vandværk (V179)\ØR2021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1" sheetId="2" r:id="rId2"/>
    <sheet name="Fane 2.2. Økonomisk ramme 2022" sheetId="15" r:id="rId3"/>
    <sheet name="Fane 2.3. Økonomisk ramme 2023" sheetId="22" r:id="rId4"/>
    <sheet name="Fane 2.4. Økonomisk ramme 2024" sheetId="23" r:id="rId5"/>
    <sheet name="Fane 3. Omkostninger i ØR2020" sheetId="27" r:id="rId6"/>
    <sheet name="Fane 4. Ikke-påvirkelige omk." sheetId="19" r:id="rId7"/>
    <sheet name="Fane 5. Kontrol af ØR2019" sheetId="32" r:id="rId8"/>
    <sheet name="Fane 6. Anlægsprojekter" sheetId="11" r:id="rId9"/>
    <sheet name="Fane 7.1. Varige tillæg" sheetId="37" r:id="rId10"/>
    <sheet name="Fane 7.2. Engangstillæg" sheetId="39" r:id="rId11"/>
    <sheet name="Fane 8. Tilknyttet virksomhed" sheetId="29" r:id="rId12"/>
    <sheet name="Fane 9. Bortfald" sheetId="21" r:id="rId13"/>
    <sheet name="Fane 10. Nøgletal" sheetId="26" r:id="rId14"/>
  </sheets>
  <calcPr calcId="162913"/>
</workbook>
</file>

<file path=xl/calcChain.xml><?xml version="1.0" encoding="utf-8"?>
<calcChain xmlns="http://schemas.openxmlformats.org/spreadsheetml/2006/main">
  <c r="C14" i="19" l="1"/>
  <c r="E14" i="27"/>
  <c r="E26" i="32"/>
  <c r="E10" i="11"/>
  <c r="E9" i="32"/>
  <c r="E39" i="32"/>
  <c r="E42" i="32"/>
  <c r="E21" i="15"/>
  <c r="E24" i="2"/>
  <c r="E18" i="32"/>
  <c r="E29" i="21"/>
  <c r="E30" i="21"/>
  <c r="C29" i="21"/>
  <c r="C30" i="21"/>
  <c r="E23" i="21"/>
  <c r="E24" i="21"/>
  <c r="C23" i="21"/>
  <c r="C24" i="21"/>
  <c r="E17" i="21"/>
  <c r="E18" i="21"/>
  <c r="C17" i="21"/>
  <c r="C18" i="21"/>
  <c r="E9" i="23"/>
  <c r="E10" i="15"/>
  <c r="E9" i="22"/>
  <c r="E32" i="39"/>
  <c r="E33" i="39" s="1"/>
  <c r="E34" i="39" s="1"/>
  <c r="E17" i="23" s="1"/>
  <c r="C32" i="39"/>
  <c r="C33" i="39" s="1"/>
  <c r="E25" i="39"/>
  <c r="E26" i="39" s="1"/>
  <c r="E27" i="39" s="1"/>
  <c r="E17" i="22" s="1"/>
  <c r="C25" i="39"/>
  <c r="C26" i="39" s="1"/>
  <c r="C27" i="39" s="1"/>
  <c r="E16" i="22" s="1"/>
  <c r="E18" i="39"/>
  <c r="E19" i="39" s="1"/>
  <c r="E20" i="39" s="1"/>
  <c r="E18" i="15" s="1"/>
  <c r="C18" i="39"/>
  <c r="C19" i="39" s="1"/>
  <c r="C20" i="39" s="1"/>
  <c r="E17" i="15" s="1"/>
  <c r="E11" i="39"/>
  <c r="E12" i="39" s="1"/>
  <c r="E13" i="39" s="1"/>
  <c r="E21" i="2" s="1"/>
  <c r="C11" i="39"/>
  <c r="C12" i="39" s="1"/>
  <c r="C13" i="39" s="1"/>
  <c r="E20" i="2" s="1"/>
  <c r="E15" i="27"/>
  <c r="E16" i="27"/>
  <c r="E27" i="27"/>
  <c r="E9" i="2"/>
  <c r="E34" i="32"/>
  <c r="E40" i="32"/>
  <c r="E43" i="32"/>
  <c r="E22" i="15"/>
  <c r="E25" i="2"/>
  <c r="F11" i="11"/>
  <c r="C10" i="37"/>
  <c r="C12" i="37" s="1"/>
  <c r="C13" i="37" s="1"/>
  <c r="E11" i="2" s="1"/>
  <c r="G11" i="11"/>
  <c r="E11" i="21"/>
  <c r="C11" i="21"/>
  <c r="E11" i="29"/>
  <c r="C11" i="29"/>
  <c r="C15" i="19"/>
  <c r="E14" i="23"/>
  <c r="E18" i="2"/>
  <c r="E14" i="22"/>
  <c r="E15" i="15"/>
  <c r="C12" i="21"/>
  <c r="E12" i="21"/>
  <c r="C12" i="29"/>
  <c r="E12" i="29"/>
  <c r="E13" i="2"/>
  <c r="E12" i="2"/>
  <c r="E11" i="11"/>
  <c r="E10" i="37"/>
  <c r="E12" i="37" s="1"/>
  <c r="E13" i="37" s="1"/>
  <c r="E14" i="2" l="1"/>
  <c r="E19" i="15"/>
  <c r="E22" i="2"/>
  <c r="E18" i="22"/>
  <c r="C34" i="39"/>
  <c r="E16" i="23" s="1"/>
  <c r="E18" i="23" s="1"/>
  <c r="E15" i="2" l="1"/>
  <c r="E16" i="2" s="1"/>
  <c r="E9" i="15" l="1"/>
  <c r="E26" i="2"/>
  <c r="E11" i="15" l="1"/>
  <c r="E12" i="15" s="1"/>
  <c r="E13" i="15" l="1"/>
  <c r="E8" i="22" l="1"/>
  <c r="E23" i="15"/>
  <c r="E11" i="22" l="1"/>
  <c r="E12" i="22" s="1"/>
  <c r="E10" i="22"/>
  <c r="E8" i="23" l="1"/>
  <c r="E19" i="22"/>
  <c r="E10" i="23" l="1"/>
  <c r="E11" i="23" s="1"/>
  <c r="E12" i="23" l="1"/>
  <c r="E19" i="23" s="1"/>
</calcChain>
</file>

<file path=xl/sharedStrings.xml><?xml version="1.0" encoding="utf-8"?>
<sst xmlns="http://schemas.openxmlformats.org/spreadsheetml/2006/main" count="415" uniqueCount="160">
  <si>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</si>
  <si>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</si>
  <si>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</si>
  <si>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</si>
  <si>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</si>
  <si>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</si>
  <si>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</si>
  <si>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4</t>
  </si>
  <si>
    <t>Fane 5</t>
  </si>
  <si>
    <t>Fane 9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</si>
  <si>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</si>
  <si>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</si>
  <si>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</si>
  <si>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</si>
  <si>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</si>
  <si>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</si>
  <si>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</si>
  <si>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</si>
  <si>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</si>
  <si>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</si>
  <si>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</si>
  <si>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</si>
  <si>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ØR2018</t>
  </si>
  <si>
    <t>Prisudvikling til brug for nye omkostninger i ØR2019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</si>
  <si>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</si>
  <si>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</si>
  <si>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</si>
  <si>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</si>
  <si>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</si>
  <si>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</si>
  <si>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</si>
  <si>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</si>
  <si>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</si>
  <si>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</si>
  <si>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Korrektion af budgetterede omkostninger i prisloft 2016</t>
  </si>
  <si>
    <t>Kontrol for overholdelse af indtægtsrammen i prisloft 2016</t>
  </si>
  <si>
    <t>Korrektion og kontrol med prisloft 2016</t>
  </si>
  <si>
    <t>Fane 2.3</t>
  </si>
  <si>
    <t>Fane 2.4</t>
  </si>
  <si>
    <t>Anlægsprojekter</t>
  </si>
  <si>
    <t>Bortfald</t>
  </si>
  <si>
    <t>Prisudvikling til brug for nye omkostninger i ØR2020</t>
  </si>
  <si>
    <t>Nye tillæg i alt i 2019-prisniveau</t>
  </si>
  <si>
    <t>Bortfald eller nedsættelse i alt i 2019-prisniveau</t>
  </si>
  <si>
    <t>Kontrol med overholdelse af den økonomiske ramme for 2018</t>
  </si>
  <si>
    <t>Indtægtsramme i den økonomiske ramme for 2018</t>
  </si>
  <si>
    <t>Faktiske indtægter i 2018</t>
  </si>
  <si>
    <t>Vejledende økonomisk ramme for 2023</t>
  </si>
  <si>
    <t>Nye varige tillæg</t>
  </si>
  <si>
    <t>Engangstillæg - Drift</t>
  </si>
  <si>
    <t>Engangstillæg - Anlæg</t>
  </si>
  <si>
    <t>Varige tillæg</t>
  </si>
  <si>
    <t>Engangstillæg</t>
  </si>
  <si>
    <t>Engangstillæg i alt</t>
  </si>
  <si>
    <t>Bortfald eller nedsættelse i alt i 2020-prisniveau</t>
  </si>
  <si>
    <t>Bortfald eller nedsættelse i alt i 2021-prisniveau</t>
  </si>
  <si>
    <t>Bortfald eller nedsættelse i alt i 2022-prisniveau</t>
  </si>
  <si>
    <t>Økonomisk ramme for 2023</t>
  </si>
  <si>
    <t>Bortfald eller nedsættelse fra og med de økonomiske rammer for 2022</t>
  </si>
  <si>
    <t>Bortfald eller nedsættelse fra og med de økonomiske rammer for 2021</t>
  </si>
  <si>
    <t>Bortfald eller nedsættelse fra og med de økonomiske rammer for 2023</t>
  </si>
  <si>
    <t>Fane 10</t>
  </si>
  <si>
    <t>Kontrol med overholdelse af den økonomiske ramme for 2017</t>
  </si>
  <si>
    <t>Indtægtsramme i den økonomiske ramme for 2017</t>
  </si>
  <si>
    <t>Faktiske indtægter i 2017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</si>
  <si>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</si>
  <si>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</si>
  <si>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</si>
  <si>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2021-prisniveau</t>
  </si>
  <si>
    <t>Fane 4: Ikke-påvirkelige omkostninger</t>
  </si>
  <si>
    <t xml:space="preserve">Note: Denne opgørelse er taget fra jeres statusmeddelelse for den økonomiske ramme for 2019. I kan derfor ikke komme med høringssvar til denne opgørelse. </t>
  </si>
  <si>
    <t xml:space="preserve">Note: Denne opgørelse er taget fra jeres statusmeddelelse for den økonomiske ramme for 2018. I kan derfor ikke komme med høringssvar til denne opgørelse. </t>
  </si>
  <si>
    <t>Effektiviseringskrav</t>
  </si>
  <si>
    <t>Antal år i næste reguleringsperiode</t>
  </si>
  <si>
    <t>Fane 6</t>
  </si>
  <si>
    <t>Nøgletal</t>
  </si>
  <si>
    <t>Korrektion og kontrol med prisloft 2016 i alt</t>
  </si>
  <si>
    <t>Prisudvikling til brug for ØR2017-2020</t>
  </si>
  <si>
    <t xml:space="preserve">Effektiviseringskrav </t>
  </si>
  <si>
    <t>Fane 3</t>
  </si>
  <si>
    <t>Nye tillæg</t>
  </si>
  <si>
    <t xml:space="preserve">Bortfald eller nedsættelse af omkostninger </t>
  </si>
  <si>
    <t>Bortfald eller nedsættelse af omkostninger</t>
  </si>
  <si>
    <t>Samlet økonomisk ramme for 2021</t>
  </si>
  <si>
    <t>Vejledende økonomisk ramme for 2024</t>
  </si>
  <si>
    <t>Omkostninger i ØR2020</t>
  </si>
  <si>
    <t>Kontrol af den økonomiske ramme for 2019</t>
  </si>
  <si>
    <t>Tilknyttet virksomhed</t>
  </si>
  <si>
    <t>Fane 2.1: Samlet økonomisk ramme for 2021</t>
  </si>
  <si>
    <t>Tidligere tilknyttet virksomhed</t>
  </si>
  <si>
    <t>Fane 2.2: Samlet økonomisk ramme for 2022</t>
  </si>
  <si>
    <t>Fane 2.3: Samlet økonomisk ramme for 2023</t>
  </si>
  <si>
    <t>Videreførte omkostninger fra den økonomiske ramme for 2022</t>
  </si>
  <si>
    <t>Fane 2.4: Samlet økonomisk ramme for 2024</t>
  </si>
  <si>
    <t>Videreførte omkostninger fra den økonomiske ramme for 2023</t>
  </si>
  <si>
    <t>Økonomisk ramme for 2024</t>
  </si>
  <si>
    <t>Fane 3: Videreførte omkostninger fra den økonomiske ramme for 2020</t>
  </si>
  <si>
    <t>Oversigt over den økonomiske ramme for 2020</t>
  </si>
  <si>
    <t xml:space="preserve">Note: Denne opgørelse er taget fra jeres afgørelse for den økonomiske ramme for 2020. I kan derfor ikke komme med høringssvar til denne opgørelse. </t>
  </si>
  <si>
    <t>Faktiske ikke-påvirkelige omkostninger i 2019</t>
  </si>
  <si>
    <t>Faktiske omkostninger i 2019</t>
  </si>
  <si>
    <t>Ikke-påvirkelige omkostninger i 2019-prisniveau</t>
  </si>
  <si>
    <t>Ikke-påvirkelige omkostninger i 2021-prisniveau</t>
  </si>
  <si>
    <t>Nye tillæg i alt i 2020-prisniveau</t>
  </si>
  <si>
    <t>Engangstillæg i alt i 2019-prisniveau</t>
  </si>
  <si>
    <t>Engangstillæg i alt i 2022-prisniveau</t>
  </si>
  <si>
    <t>Tilknyttet virksomhed under hovedvirksomheden</t>
  </si>
  <si>
    <t>Tilknyttet virksomhed under hovedvirksomheden i alt (2019-prisniveau)</t>
  </si>
  <si>
    <t>Tilknyttet virksomhed under hovedvirksomheden i alt (2020-prisniveau)</t>
  </si>
  <si>
    <t>Bortfald eller nedsættelse fra og med de økonomiske rammer for 2024</t>
  </si>
  <si>
    <t>Bortfald eller nedsættelse i alt i 2023-prisniveau</t>
  </si>
  <si>
    <t>Prisudvikling til brug for nye omkostninger i ØR2021</t>
  </si>
  <si>
    <t>Engangstillæg i alt i 2023-prisniveau</t>
  </si>
  <si>
    <t>Engangstillæg i alt i 2024-prisniveau</t>
  </si>
  <si>
    <t>Engangstillæg til de økonomiske rammer for 2024</t>
  </si>
  <si>
    <t>Beskrivelse af tilknyttet virksomhed</t>
  </si>
  <si>
    <t>Fane 5: Kontrol med overholdelse af den økonomiske ramme for 2019</t>
  </si>
  <si>
    <t>Anlægsprojekter igangsat senest den 1. marts 2016</t>
  </si>
  <si>
    <t>Anlægsprojekter igangsat senest den 1. marts 2016 i alt</t>
  </si>
  <si>
    <t>Anlægsprojekter igangsat senest 1. marts 2016</t>
  </si>
  <si>
    <t>Korrektion af grundlag</t>
  </si>
  <si>
    <t>Fane 7.1</t>
  </si>
  <si>
    <t>Fane 7.2</t>
  </si>
  <si>
    <t>Fane 8</t>
  </si>
  <si>
    <t>Kontrol med overholdelse af økonomiske rammer</t>
  </si>
  <si>
    <t>Kontrol med overholdelse af den økonomiske ramme</t>
  </si>
  <si>
    <t xml:space="preserve">Note: Denne opgørelse er taget fra jeres statusmeddelelse for den økonomiske ramme for 2020. I kan derfor ikke komme med høringssvar til denne opgørelse. </t>
  </si>
  <si>
    <t>Kontrol med overholdelse af den økonomiske ramme for 2019</t>
  </si>
  <si>
    <t>Indtægtsramme i den økonomiske ramme for 2019</t>
  </si>
  <si>
    <t>Faktiske indtægter i 2019</t>
  </si>
  <si>
    <t>Til indregning i de økonomiske rammer for 2021-2022</t>
  </si>
  <si>
    <t>Til økonomiske rammer for 2021 og 2022</t>
  </si>
  <si>
    <t>Samlet økonomisk ramme for 2022</t>
  </si>
  <si>
    <t>Korrektion og kontrol med prisloft 2016 til indregning</t>
  </si>
  <si>
    <t>Kontrol med de økonomiske rammer for 2017-2019 til indregning</t>
  </si>
  <si>
    <t>Kontrol med de økonomiske rammer for 2017-2019</t>
  </si>
  <si>
    <t>Difference (2017-prisniveau)</t>
  </si>
  <si>
    <t>Difference (2018-prisniveau)</t>
  </si>
  <si>
    <t>Difference (2019-prisniveau)</t>
  </si>
  <si>
    <t>Fane 6: Anlægsprojekter igangsat senest den 1. marts 2016</t>
  </si>
  <si>
    <t>Fane 7.1: Varige tillæg</t>
  </si>
  <si>
    <t>Fane 7.2: Engangstillæg</t>
  </si>
  <si>
    <t>Fane 8: Tilknyttet virksomhed under hovedvirksomheden</t>
  </si>
  <si>
    <t>Fane 9: Bortfald eller nedsættelse af omkostninger til mål, medfinansiering eller udvidelse</t>
  </si>
  <si>
    <t>Fane 10: Nøgletal</t>
  </si>
  <si>
    <t>Historisk over- eller underdækning</t>
  </si>
  <si>
    <t>Tillæg/fradrag for historisk over- eller underdækning</t>
  </si>
  <si>
    <t>Korrektion af den økonomiske ramme for 2018</t>
  </si>
  <si>
    <t>Tillæg/fradrag for korrektion af den økonomiske ramme for 2018</t>
  </si>
  <si>
    <t>- Heraf nye omkostninger i ØR18</t>
  </si>
  <si>
    <t>- Heraf nye omkostninger i ØR19</t>
  </si>
  <si>
    <t>Ingen tilknyttet virksomhed</t>
  </si>
  <si>
    <t>Ingen bortfald eller nedsættelse</t>
  </si>
  <si>
    <t>Afgift for ledningsført vand</t>
  </si>
  <si>
    <t>Afgift til Forsyningssekretariatet</t>
  </si>
  <si>
    <t>Ejendomsskat</t>
  </si>
  <si>
    <t>Erstatninger</t>
  </si>
  <si>
    <t>Ingen anlægsprojekter</t>
  </si>
  <si>
    <t xml:space="preserve">Udvidelse af forsyningsområde </t>
  </si>
  <si>
    <t xml:space="preserve">Ingen tillæg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</si>
</sst>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95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7" borderId="1" xfId="0" applyNumberFormat="1" applyFont="1" applyFill="1" applyBorder="1" applyAlignment="1" applyProtection="1">
      <alignment wrapText="1"/>
    </xf>
    <xf numFmtId="3" fontId="8" fillId="7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7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0" fontId="8" fillId="4" borderId="2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7" borderId="1" xfId="0" applyNumberFormat="1" applyFont="1" applyFill="1" applyBorder="1" applyAlignment="1" applyProtection="1"/>
    <xf numFmtId="49" fontId="8" fillId="7" borderId="2" xfId="0" applyNumberFormat="1" applyFont="1" applyFill="1" applyBorder="1" applyAlignment="1" applyProtection="1"/>
    <xf numFmtId="10" fontId="8" fillId="7" borderId="1" xfId="3" applyNumberFormat="1" applyFont="1" applyFill="1" applyBorder="1" applyAlignment="1" applyProtection="1"/>
    <xf numFmtId="0" fontId="7" fillId="3" borderId="6" xfId="0" applyFont="1" applyFill="1" applyBorder="1" applyAlignment="1" applyProtection="1"/>
    <xf numFmtId="0" fontId="15" fillId="0" borderId="2" xfId="0" applyFont="1" applyFill="1" applyBorder="1" applyAlignment="1" applyProtection="1"/>
    <xf numFmtId="3" fontId="15" fillId="0" borderId="1" xfId="0" applyNumberFormat="1" applyFont="1" applyFill="1" applyBorder="1" applyProtection="1"/>
    <xf numFmtId="0" fontId="15" fillId="0" borderId="1" xfId="0" applyFont="1" applyFill="1" applyBorder="1" applyProtection="1"/>
    <xf numFmtId="0" fontId="8" fillId="7" borderId="2" xfId="0" applyFont="1" applyFill="1" applyBorder="1" applyAlignment="1" applyProtection="1"/>
    <xf numFmtId="0" fontId="8" fillId="7" borderId="1" xfId="0" quotePrefix="1" applyFont="1" applyFill="1" applyBorder="1" applyAlignment="1" applyProtection="1">
      <alignment horizontal="left" wrapText="1"/>
    </xf>
    <xf numFmtId="0" fontId="8" fillId="7" borderId="1" xfId="0" applyFont="1" applyFill="1" applyBorder="1" applyAlignment="1" applyProtection="1"/>
    <xf numFmtId="10" fontId="8" fillId="0" borderId="3" xfId="3" applyNumberFormat="1" applyFont="1" applyFill="1" applyBorder="1" applyAlignment="1" applyProtection="1"/>
    <xf numFmtId="0" fontId="0" fillId="0" borderId="0" xfId="0" applyFill="1" applyProtection="1"/>
    <xf numFmtId="0" fontId="15" fillId="7" borderId="1" xfId="0" applyFont="1" applyFill="1" applyBorder="1" applyAlignment="1" applyProtection="1"/>
    <xf numFmtId="0" fontId="2" fillId="2" borderId="0" xfId="0" applyFont="1" applyFill="1" applyAlignment="1" applyProtection="1">
      <alignment horizontal="center" vertical="center" wrapText="1"/>
    </xf>
    <xf numFmtId="0" fontId="8" fillId="7" borderId="1" xfId="0" applyFont="1" applyFill="1" applyBorder="1" applyAlignment="1" applyProtection="1">
      <alignment wrapText="1"/>
    </xf>
    <xf numFmtId="0" fontId="8" fillId="7" borderId="1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wrapText="1"/>
    </xf>
    <xf numFmtId="0" fontId="8" fillId="4" borderId="1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  <xf numFmtId="49" fontId="8" fillId="7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  <xf numFmtId="49" fontId="8" fillId="7" borderId="2" xfId="0" applyNumberFormat="1" applyFont="1" applyFill="1" applyBorder="1" applyAlignment="1" applyProtection="1">
      <alignment horizontal="left"/>
    </xf>
    <xf numFmtId="0" fontId="1" fillId="3" borderId="4" xfId="1" applyFont="1" applyFill="1" applyBorder="1" applyAlignment="1" applyProtection="1">
      <alignment horizontal="center"/>
    </xf>
    <xf numFmtId="0" fontId="1" fillId="3" borderId="0" xfId="1" applyFont="1" applyFill="1" applyBorder="1" applyAlignment="1" applyProtection="1">
      <alignment horizontal="center"/>
    </xf>
    <xf numFmtId="0" fontId="1" fillId="3" borderId="5" xfId="1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" fillId="6" borderId="4" xfId="1" applyFont="1" applyFill="1" applyBorder="1" applyAlignment="1" applyProtection="1">
      <alignment horizontal="center"/>
    </xf>
    <xf numFmtId="0" fontId="1" fillId="6" borderId="0" xfId="1" applyFont="1" applyFill="1" applyBorder="1" applyAlignment="1" applyProtection="1">
      <alignment horizontal="center"/>
    </xf>
    <xf numFmtId="0" fontId="1" fillId="6" borderId="5" xfId="1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8" borderId="4" xfId="1" applyFont="1" applyFill="1" applyBorder="1" applyAlignment="1" applyProtection="1">
      <alignment horizontal="center"/>
    </xf>
    <xf numFmtId="0" fontId="1" fillId="8" borderId="0" xfId="1" applyFont="1" applyFill="1" applyBorder="1" applyAlignment="1" applyProtection="1">
      <alignment horizontal="center"/>
    </xf>
    <xf numFmtId="0" fontId="1" fillId="8" borderId="5" xfId="1" applyFont="1" applyFill="1" applyBorder="1" applyAlignment="1" applyProtection="1">
      <alignment horizontal="center"/>
    </xf>
    <xf numFmtId="0" fontId="12" fillId="5" borderId="4" xfId="1" applyFont="1" applyFill="1" applyBorder="1" applyAlignment="1" applyProtection="1">
      <alignment horizontal="center"/>
    </xf>
    <xf numFmtId="0" fontId="12" fillId="5" borderId="0" xfId="1" applyFont="1" applyFill="1" applyBorder="1" applyAlignment="1" applyProtection="1">
      <alignment horizontal="center"/>
    </xf>
    <xf numFmtId="0" fontId="12" fillId="5" borderId="5" xfId="1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7" borderId="1" xfId="0" quotePrefix="1" applyFont="1" applyFill="1" applyBorder="1" applyAlignment="1" applyProtection="1">
      <alignment wrapText="1"/>
    </xf>
    <xf numFmtId="0" fontId="8" fillId="7" borderId="1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wrapText="1"/>
    </xf>
    <xf numFmtId="0" fontId="8" fillId="7" borderId="2" xfId="0" quotePrefix="1" applyFont="1" applyFill="1" applyBorder="1" applyAlignment="1" applyProtection="1">
      <alignment horizontal="left" wrapText="1"/>
    </xf>
    <xf numFmtId="0" fontId="8" fillId="7" borderId="6" xfId="0" quotePrefix="1" applyFont="1" applyFill="1" applyBorder="1" applyAlignment="1" applyProtection="1">
      <alignment horizontal="left" wrapText="1"/>
    </xf>
    <xf numFmtId="0" fontId="8" fillId="7" borderId="3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7" borderId="1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7" fillId="3" borderId="1" xfId="0" applyFont="1" applyFill="1" applyBorder="1" applyAlignment="1" applyProtection="1">
      <alignment horizontal="left"/>
    </xf>
    <xf numFmtId="0" fontId="8" fillId="7" borderId="1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7" borderId="1" xfId="0" quotePrefix="1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</cellXfs>
  <cellStyles count="4">
    <cellStyle name="Link" xfId="1" builtinId="8"/>
    <cellStyle name="Normal" xfId="0" builtinId="0"/>
    <cellStyle name="Normal 12" xfId="2"/>
    <cellStyle name="Procent" xfId="3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51" t="s">
        <v>4</v>
      </c>
      <c r="E6" s="51"/>
      <c r="F6" s="51"/>
      <c r="G6" s="51"/>
      <c r="H6" s="3"/>
      <c r="I6" s="1"/>
    </row>
    <row r="7" spans="1:9" ht="15" customHeight="1" x14ac:dyDescent="0.25">
      <c r="A7" s="1"/>
      <c r="B7" s="1"/>
      <c r="C7" s="3"/>
      <c r="D7" s="51"/>
      <c r="E7" s="51"/>
      <c r="F7" s="51"/>
      <c r="G7" s="51"/>
      <c r="H7" s="3"/>
      <c r="I7" s="1"/>
    </row>
    <row r="8" spans="1:9" ht="15.75" x14ac:dyDescent="0.25">
      <c r="A8" s="1"/>
      <c r="B8" s="1"/>
      <c r="C8" s="4"/>
      <c r="D8" s="56" t="s">
        <v>131</v>
      </c>
      <c r="E8" s="56"/>
      <c r="F8" s="56"/>
      <c r="G8" s="56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55" t="s">
        <v>5</v>
      </c>
      <c r="E11" s="55"/>
      <c r="F11" s="55"/>
      <c r="G11" s="55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48" t="s">
        <v>83</v>
      </c>
      <c r="E13" s="49"/>
      <c r="F13" s="49"/>
      <c r="G13" s="50"/>
      <c r="H13" s="1"/>
      <c r="I13" s="1"/>
    </row>
    <row r="14" spans="1:9" x14ac:dyDescent="0.25">
      <c r="A14" s="1"/>
      <c r="B14" s="1"/>
      <c r="C14" s="6" t="s">
        <v>15</v>
      </c>
      <c r="D14" s="48" t="s">
        <v>132</v>
      </c>
      <c r="E14" s="49"/>
      <c r="F14" s="49"/>
      <c r="G14" s="50"/>
      <c r="H14" s="1"/>
      <c r="I14" s="1"/>
    </row>
    <row r="15" spans="1:9" x14ac:dyDescent="0.25">
      <c r="A15" s="1"/>
      <c r="B15" s="1"/>
      <c r="C15" s="6" t="s">
        <v>37</v>
      </c>
      <c r="D15" s="48" t="s">
        <v>47</v>
      </c>
      <c r="E15" s="49"/>
      <c r="F15" s="49"/>
      <c r="G15" s="50"/>
      <c r="H15" s="1"/>
      <c r="I15" s="1"/>
    </row>
    <row r="16" spans="1:9" x14ac:dyDescent="0.25">
      <c r="A16" s="1"/>
      <c r="B16" s="1"/>
      <c r="C16" s="6" t="s">
        <v>38</v>
      </c>
      <c r="D16" s="48" t="s">
        <v>84</v>
      </c>
      <c r="E16" s="49"/>
      <c r="F16" s="49"/>
      <c r="G16" s="50"/>
      <c r="H16" s="1"/>
      <c r="I16" s="1"/>
    </row>
    <row r="17" spans="1:9" x14ac:dyDescent="0.25">
      <c r="A17" s="1"/>
      <c r="B17" s="1"/>
      <c r="C17" s="6" t="s">
        <v>79</v>
      </c>
      <c r="D17" s="48" t="s">
        <v>85</v>
      </c>
      <c r="E17" s="49"/>
      <c r="F17" s="49"/>
      <c r="G17" s="50"/>
      <c r="H17" s="1"/>
      <c r="I17" s="1"/>
    </row>
    <row r="18" spans="1:9" x14ac:dyDescent="0.25">
      <c r="A18" s="1"/>
      <c r="B18" s="1"/>
      <c r="C18" s="6" t="s">
        <v>7</v>
      </c>
      <c r="D18" s="60" t="s">
        <v>12</v>
      </c>
      <c r="E18" s="61"/>
      <c r="F18" s="61"/>
      <c r="G18" s="62"/>
      <c r="H18" s="1"/>
      <c r="I18" s="1"/>
    </row>
    <row r="19" spans="1:9" x14ac:dyDescent="0.25">
      <c r="A19" s="1"/>
      <c r="B19" s="1"/>
      <c r="C19" s="6" t="s">
        <v>8</v>
      </c>
      <c r="D19" s="52" t="s">
        <v>86</v>
      </c>
      <c r="E19" s="53"/>
      <c r="F19" s="53"/>
      <c r="G19" s="54"/>
      <c r="H19" s="1"/>
      <c r="I19" s="1"/>
    </row>
    <row r="20" spans="1:9" x14ac:dyDescent="0.25">
      <c r="A20" s="1"/>
      <c r="B20" s="1"/>
      <c r="C20" s="6" t="s">
        <v>74</v>
      </c>
      <c r="D20" s="52" t="s">
        <v>39</v>
      </c>
      <c r="E20" s="53"/>
      <c r="F20" s="53"/>
      <c r="G20" s="54"/>
      <c r="H20" s="1"/>
      <c r="I20" s="1"/>
    </row>
    <row r="21" spans="1:9" x14ac:dyDescent="0.25">
      <c r="A21" s="1"/>
      <c r="B21" s="1"/>
      <c r="C21" s="6" t="s">
        <v>121</v>
      </c>
      <c r="D21" s="52" t="s">
        <v>51</v>
      </c>
      <c r="E21" s="53"/>
      <c r="F21" s="53"/>
      <c r="G21" s="54"/>
      <c r="H21" s="1"/>
      <c r="I21" s="1"/>
    </row>
    <row r="22" spans="1:9" x14ac:dyDescent="0.25">
      <c r="A22" s="1"/>
      <c r="B22" s="1"/>
      <c r="C22" s="6" t="s">
        <v>122</v>
      </c>
      <c r="D22" s="52" t="s">
        <v>52</v>
      </c>
      <c r="E22" s="53"/>
      <c r="F22" s="53"/>
      <c r="G22" s="54"/>
      <c r="H22" s="1"/>
      <c r="I22" s="1"/>
    </row>
    <row r="23" spans="1:9" x14ac:dyDescent="0.25">
      <c r="A23" s="1"/>
      <c r="B23" s="1"/>
      <c r="C23" s="6" t="s">
        <v>123</v>
      </c>
      <c r="D23" s="52" t="s">
        <v>87</v>
      </c>
      <c r="E23" s="53"/>
      <c r="F23" s="53"/>
      <c r="G23" s="54"/>
      <c r="H23" s="1"/>
      <c r="I23" s="1"/>
    </row>
    <row r="24" spans="1:9" x14ac:dyDescent="0.25">
      <c r="A24" s="1"/>
      <c r="B24" s="1"/>
      <c r="C24" s="6" t="s">
        <v>9</v>
      </c>
      <c r="D24" s="52" t="s">
        <v>40</v>
      </c>
      <c r="E24" s="53"/>
      <c r="F24" s="53"/>
      <c r="G24" s="54"/>
      <c r="H24" s="1"/>
      <c r="I24" s="1"/>
    </row>
    <row r="25" spans="1:9" x14ac:dyDescent="0.25">
      <c r="A25" s="1"/>
      <c r="B25" s="1"/>
      <c r="C25" s="6" t="s">
        <v>61</v>
      </c>
      <c r="D25" s="57" t="s">
        <v>75</v>
      </c>
      <c r="E25" s="58"/>
      <c r="F25" s="58"/>
      <c r="G25" s="59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yfLVpbk10ZMtxTqX8uswRBS9oGJI2Md2nJpPeq7wLN1OuKlnFObXGOi7AHPet3ulkwtALO1w/BhhT+ktv/igFg==" saltValue="kUYcC49oIJiGhftIgolo8Q==" spinCount="100000" sheet="1" objects="1" scenarios="1"/>
  <mergeCells count="16">
    <mergeCell ref="D24:G24"/>
    <mergeCell ref="D25:G25"/>
    <mergeCell ref="D18:G18"/>
    <mergeCell ref="D20:G20"/>
    <mergeCell ref="D21:G21"/>
    <mergeCell ref="D23:G23"/>
    <mergeCell ref="D22:G22"/>
    <mergeCell ref="D14:G14"/>
    <mergeCell ref="D6:G7"/>
    <mergeCell ref="D19:G19"/>
    <mergeCell ref="D11:G11"/>
    <mergeCell ref="D8:G8"/>
    <mergeCell ref="D15:G15"/>
    <mergeCell ref="D16:G16"/>
    <mergeCell ref="D13:G13"/>
    <mergeCell ref="D17:G17"/>
  </mergeCells>
  <hyperlinks>
    <hyperlink ref="D14:G14" location="'Fane 2.2. Økonomisk ramme 2022'!A1" display="Vejledende økonomisk ramme for 2022"/>
    <hyperlink ref="D21:G21" location="'Fane 7.1. Varige tillæg'!A1" display="Varige tillæg"/>
    <hyperlink ref="D23:G23" location="'Fane 8. Tilknyttet virksomhed'!A1" display="Tilknyttet virksomhed"/>
    <hyperlink ref="D24:G24" location="'Fane 9. Bortfald'!A1" display="Bortfald"/>
    <hyperlink ref="D13:G13" location="'Fane 2.1. Økonomisk ramme 2021'!A1" display="Samlet økonomisk ramme for 2021"/>
    <hyperlink ref="D16:G16" location="'Fane 2.4. Økonomisk ramme 2024'!A1" display="Vejledende økonomisk ramme for 2024"/>
    <hyperlink ref="D15:G15" location="'Fane 2.3. Økonomisk ramme 2023'!A1" display="Vejledende økonomisk ramme for 2023"/>
    <hyperlink ref="D18:G18" location="'Fane 4. Ikke-påvirkelige omk.'!A1" display="Ikke-påvirkelige omk."/>
    <hyperlink ref="D19:G19" location="'Fane 5. Kontrol af ØR2019'!A1" display="Kontrol af den økonomiske ramme for 2019"/>
    <hyperlink ref="D25:G25" location="'Fane 10. Nøgletal'!A1" display="Nøgletal"/>
    <hyperlink ref="D17:G17" location="'Fane 3. Omkostninger i ØR2020'!A1" display="Omkostninger i ØR2020"/>
    <hyperlink ref="D22:G22" location="'Fane 7.2. Engangstillæg'!A1" display="Engangstillæg"/>
    <hyperlink ref="D20:G20" location="'Fane 6. Anlægsprojekter'!A1" display="Anlægsprojekter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3" t="s">
        <v>140</v>
      </c>
      <c r="C3" s="63"/>
      <c r="D3" s="63"/>
      <c r="E3" s="63"/>
      <c r="F3" s="63"/>
      <c r="G3" s="1"/>
    </row>
    <row r="4" spans="1:7" ht="15" customHeight="1" x14ac:dyDescent="0.25">
      <c r="A4" s="1"/>
      <c r="B4" s="63"/>
      <c r="C4" s="63"/>
      <c r="D4" s="63"/>
      <c r="E4" s="63"/>
      <c r="F4" s="63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3" t="s">
        <v>48</v>
      </c>
      <c r="C8" s="22"/>
      <c r="D8" s="22"/>
      <c r="E8" s="22"/>
      <c r="F8" s="44"/>
      <c r="G8" s="1"/>
    </row>
    <row r="9" spans="1:7" ht="17.25" customHeight="1" x14ac:dyDescent="0.25">
      <c r="A9" s="1"/>
      <c r="B9" s="35" t="s">
        <v>16</v>
      </c>
      <c r="C9" s="35" t="s">
        <v>11</v>
      </c>
      <c r="D9" s="36"/>
      <c r="E9" s="35" t="s">
        <v>31</v>
      </c>
      <c r="F9" s="42"/>
      <c r="G9" s="1"/>
    </row>
    <row r="10" spans="1:7" x14ac:dyDescent="0.25">
      <c r="A10" s="1"/>
      <c r="B10" s="20" t="s">
        <v>119</v>
      </c>
      <c r="C10" s="19">
        <f>'Fane 6. Anlægsprojekter'!F11</f>
        <v>0</v>
      </c>
      <c r="D10" s="12" t="s">
        <v>3</v>
      </c>
      <c r="E10" s="8">
        <f>SUM('Fane 6. Anlægsprojekter'!E11,'Fane 6. Anlægsprojekter'!G11)</f>
        <v>0</v>
      </c>
      <c r="F10" s="12" t="s">
        <v>3</v>
      </c>
      <c r="G10" s="1"/>
    </row>
    <row r="11" spans="1:7" x14ac:dyDescent="0.25">
      <c r="A11" s="1"/>
      <c r="B11" s="47" t="s">
        <v>158</v>
      </c>
      <c r="C11" s="19">
        <v>0</v>
      </c>
      <c r="D11" s="12" t="s">
        <v>3</v>
      </c>
      <c r="E11" s="8">
        <v>2334</v>
      </c>
      <c r="F11" s="12" t="s">
        <v>3</v>
      </c>
      <c r="G11" s="1"/>
    </row>
    <row r="12" spans="1:7" x14ac:dyDescent="0.25">
      <c r="A12" s="1"/>
      <c r="B12" s="43" t="s">
        <v>42</v>
      </c>
      <c r="C12" s="10">
        <f>SUM(C10:C11)</f>
        <v>0</v>
      </c>
      <c r="D12" s="11" t="s">
        <v>3</v>
      </c>
      <c r="E12" s="10">
        <f>SUM(E10:E11)</f>
        <v>2334</v>
      </c>
      <c r="F12" s="11" t="s">
        <v>3</v>
      </c>
      <c r="G12" s="1"/>
    </row>
    <row r="13" spans="1:7" x14ac:dyDescent="0.25">
      <c r="A13" s="1"/>
      <c r="B13" s="43" t="s">
        <v>103</v>
      </c>
      <c r="C13" s="10">
        <f>C12*(1+'Fane 10. Nøgletal'!C13)</f>
        <v>0</v>
      </c>
      <c r="D13" s="11" t="s">
        <v>3</v>
      </c>
      <c r="E13" s="10">
        <f>E12*(1+'Fane 10. Nøgletal'!C13)</f>
        <v>2362.4748</v>
      </c>
      <c r="F13" s="11" t="s">
        <v>3</v>
      </c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33OvdFo7qegoaiJJ7IrIWCrIDozaXmK1sxPjnNkiv9zlEUrD16fpHR6OcYeGMy7kJj7gFV4sQS7p+1Z3yQKitQ==" saltValue="q8ByT2QPsIHCBITLTjke3g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3" t="s">
        <v>141</v>
      </c>
      <c r="C3" s="63"/>
      <c r="D3" s="63"/>
      <c r="E3" s="63"/>
      <c r="F3" s="63"/>
      <c r="G3" s="1"/>
    </row>
    <row r="4" spans="1:7" ht="15" customHeight="1" x14ac:dyDescent="0.25">
      <c r="A4" s="1"/>
      <c r="B4" s="63"/>
      <c r="C4" s="63"/>
      <c r="D4" s="63"/>
      <c r="E4" s="63"/>
      <c r="F4" s="63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1" t="s">
        <v>65</v>
      </c>
      <c r="C8" s="82"/>
      <c r="D8" s="82"/>
      <c r="E8" s="82"/>
      <c r="F8" s="83"/>
      <c r="G8" s="1"/>
    </row>
    <row r="9" spans="1:7" x14ac:dyDescent="0.25">
      <c r="A9" s="1"/>
      <c r="B9" s="35" t="s">
        <v>16</v>
      </c>
      <c r="C9" s="35" t="s">
        <v>11</v>
      </c>
      <c r="D9" s="36"/>
      <c r="E9" s="35" t="s">
        <v>31</v>
      </c>
      <c r="F9" s="42"/>
      <c r="G9" s="1"/>
    </row>
    <row r="10" spans="1:7" x14ac:dyDescent="0.25">
      <c r="A10" s="1"/>
      <c r="B10" s="20" t="s">
        <v>159</v>
      </c>
      <c r="C10" s="19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25">
      <c r="A11" s="1"/>
      <c r="B11" s="43" t="s">
        <v>104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23" t="s">
        <v>72</v>
      </c>
      <c r="C12" s="24">
        <f>-C11*'Fane 10. Nøgletal'!C18</f>
        <v>0</v>
      </c>
      <c r="D12" s="25" t="s">
        <v>3</v>
      </c>
      <c r="E12" s="24">
        <f>-E11*'Fane 10. Nøgletal'!C18</f>
        <v>0</v>
      </c>
      <c r="F12" s="25" t="s">
        <v>3</v>
      </c>
      <c r="G12" s="1"/>
    </row>
    <row r="13" spans="1:7" x14ac:dyDescent="0.25">
      <c r="A13" s="1"/>
      <c r="B13" s="43" t="s">
        <v>68</v>
      </c>
      <c r="C13" s="10">
        <f>SUM(C11:C12)*(1+'Fane 10. Nøgletal'!C13)^2</f>
        <v>0</v>
      </c>
      <c r="D13" s="11" t="s">
        <v>3</v>
      </c>
      <c r="E13" s="10">
        <f>SUM(E11:E12)*(1+'Fane 10. Nøgletal'!C13)^2</f>
        <v>0</v>
      </c>
      <c r="F13" s="11" t="s">
        <v>3</v>
      </c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81" t="s">
        <v>66</v>
      </c>
      <c r="C15" s="82"/>
      <c r="D15" s="82"/>
      <c r="E15" s="82"/>
      <c r="F15" s="83"/>
      <c r="G15" s="1"/>
    </row>
    <row r="16" spans="1:7" x14ac:dyDescent="0.25">
      <c r="A16" s="1"/>
      <c r="B16" s="35" t="s">
        <v>16</v>
      </c>
      <c r="C16" s="35" t="s">
        <v>11</v>
      </c>
      <c r="D16" s="36"/>
      <c r="E16" s="35" t="s">
        <v>31</v>
      </c>
      <c r="F16" s="42"/>
      <c r="G16" s="1"/>
    </row>
    <row r="17" spans="1:7" x14ac:dyDescent="0.25">
      <c r="A17" s="1"/>
      <c r="B17" s="20" t="s">
        <v>159</v>
      </c>
      <c r="C17" s="19">
        <v>0</v>
      </c>
      <c r="D17" s="12" t="s">
        <v>3</v>
      </c>
      <c r="E17" s="8">
        <v>0</v>
      </c>
      <c r="F17" s="12" t="s">
        <v>3</v>
      </c>
      <c r="G17" s="1"/>
    </row>
    <row r="18" spans="1:7" x14ac:dyDescent="0.25">
      <c r="A18" s="1"/>
      <c r="B18" s="43" t="s">
        <v>104</v>
      </c>
      <c r="C18" s="10">
        <f>SUM(C17:C17)</f>
        <v>0</v>
      </c>
      <c r="D18" s="11" t="s">
        <v>3</v>
      </c>
      <c r="E18" s="10">
        <f>SUM(E17:E17)</f>
        <v>0</v>
      </c>
      <c r="F18" s="11" t="s">
        <v>3</v>
      </c>
      <c r="G18" s="1"/>
    </row>
    <row r="19" spans="1:7" x14ac:dyDescent="0.25">
      <c r="A19" s="1"/>
      <c r="B19" s="23" t="s">
        <v>72</v>
      </c>
      <c r="C19" s="24">
        <f>-C18*'Fane 10. Nøgletal'!C18</f>
        <v>0</v>
      </c>
      <c r="D19" s="25" t="s">
        <v>3</v>
      </c>
      <c r="E19" s="24">
        <f>-E18*'Fane 10. Nøgletal'!C18</f>
        <v>0</v>
      </c>
      <c r="F19" s="25" t="s">
        <v>3</v>
      </c>
      <c r="G19" s="1"/>
    </row>
    <row r="20" spans="1:7" x14ac:dyDescent="0.25">
      <c r="A20" s="1"/>
      <c r="B20" s="43" t="s">
        <v>105</v>
      </c>
      <c r="C20" s="10">
        <f>SUM(C18:C19)*(1+'Fane 10. Nøgletal'!C13)^3</f>
        <v>0</v>
      </c>
      <c r="D20" s="11" t="s">
        <v>3</v>
      </c>
      <c r="E20" s="10">
        <f>SUM(E18:E19)*(1+'Fane 10. Nøgletal'!C13)^3</f>
        <v>0</v>
      </c>
      <c r="F20" s="11" t="s">
        <v>3</v>
      </c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81" t="s">
        <v>67</v>
      </c>
      <c r="C22" s="82"/>
      <c r="D22" s="82"/>
      <c r="E22" s="82"/>
      <c r="F22" s="83"/>
      <c r="G22" s="1"/>
    </row>
    <row r="23" spans="1:7" x14ac:dyDescent="0.25">
      <c r="A23" s="1"/>
      <c r="B23" s="35" t="s">
        <v>16</v>
      </c>
      <c r="C23" s="35" t="s">
        <v>11</v>
      </c>
      <c r="D23" s="36"/>
      <c r="E23" s="35" t="s">
        <v>31</v>
      </c>
      <c r="F23" s="42"/>
      <c r="G23" s="1"/>
    </row>
    <row r="24" spans="1:7" x14ac:dyDescent="0.25">
      <c r="A24" s="1"/>
      <c r="B24" s="20" t="s">
        <v>159</v>
      </c>
      <c r="C24" s="19">
        <v>0</v>
      </c>
      <c r="D24" s="12" t="s">
        <v>3</v>
      </c>
      <c r="E24" s="8">
        <v>0</v>
      </c>
      <c r="F24" s="12" t="s">
        <v>3</v>
      </c>
      <c r="G24" s="1"/>
    </row>
    <row r="25" spans="1:7" x14ac:dyDescent="0.25">
      <c r="A25" s="1"/>
      <c r="B25" s="43" t="s">
        <v>104</v>
      </c>
      <c r="C25" s="10">
        <f>SUM(C24:C24)</f>
        <v>0</v>
      </c>
      <c r="D25" s="11" t="s">
        <v>3</v>
      </c>
      <c r="E25" s="10">
        <f>SUM(E24:E24)</f>
        <v>0</v>
      </c>
      <c r="F25" s="11" t="s">
        <v>3</v>
      </c>
      <c r="G25" s="1"/>
    </row>
    <row r="26" spans="1:7" x14ac:dyDescent="0.25">
      <c r="A26" s="1"/>
      <c r="B26" s="23" t="s">
        <v>72</v>
      </c>
      <c r="C26" s="24">
        <f>-C25*'Fane 10. Nøgletal'!C18</f>
        <v>0</v>
      </c>
      <c r="D26" s="25" t="s">
        <v>3</v>
      </c>
      <c r="E26" s="24">
        <f>-E25*'Fane 10. Nøgletal'!C18</f>
        <v>0</v>
      </c>
      <c r="F26" s="25" t="s">
        <v>3</v>
      </c>
      <c r="G26" s="1"/>
    </row>
    <row r="27" spans="1:7" x14ac:dyDescent="0.25">
      <c r="A27" s="1"/>
      <c r="B27" s="43" t="s">
        <v>112</v>
      </c>
      <c r="C27" s="10">
        <f>SUM(C25:C26)*(1+'Fane 10. Nøgletal'!C13)^4</f>
        <v>0</v>
      </c>
      <c r="D27" s="11" t="s">
        <v>3</v>
      </c>
      <c r="E27" s="10">
        <f>SUM(E25:E26)*(1+'Fane 10. Nøgletal'!C13)^4</f>
        <v>0</v>
      </c>
      <c r="F27" s="11" t="s">
        <v>3</v>
      </c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81" t="s">
        <v>114</v>
      </c>
      <c r="C29" s="82"/>
      <c r="D29" s="82"/>
      <c r="E29" s="82"/>
      <c r="F29" s="83"/>
      <c r="G29" s="1"/>
    </row>
    <row r="30" spans="1:7" x14ac:dyDescent="0.25">
      <c r="A30" s="1"/>
      <c r="B30" s="35" t="s">
        <v>16</v>
      </c>
      <c r="C30" s="35" t="s">
        <v>11</v>
      </c>
      <c r="D30" s="36"/>
      <c r="E30" s="35" t="s">
        <v>31</v>
      </c>
      <c r="F30" s="42"/>
      <c r="G30" s="1"/>
    </row>
    <row r="31" spans="1:7" x14ac:dyDescent="0.25">
      <c r="A31" s="1"/>
      <c r="B31" s="20" t="s">
        <v>159</v>
      </c>
      <c r="C31" s="19">
        <v>0</v>
      </c>
      <c r="D31" s="12" t="s">
        <v>3</v>
      </c>
      <c r="E31" s="8">
        <v>0</v>
      </c>
      <c r="F31" s="12" t="s">
        <v>3</v>
      </c>
      <c r="G31" s="1"/>
    </row>
    <row r="32" spans="1:7" x14ac:dyDescent="0.25">
      <c r="A32" s="1"/>
      <c r="B32" s="43" t="s">
        <v>104</v>
      </c>
      <c r="C32" s="10">
        <f>SUM(C31:C31)</f>
        <v>0</v>
      </c>
      <c r="D32" s="11" t="s">
        <v>3</v>
      </c>
      <c r="E32" s="10">
        <f>SUM(E31:E31)</f>
        <v>0</v>
      </c>
      <c r="F32" s="11" t="s">
        <v>3</v>
      </c>
      <c r="G32" s="1"/>
    </row>
    <row r="33" spans="1:7" x14ac:dyDescent="0.25">
      <c r="A33" s="1"/>
      <c r="B33" s="23" t="s">
        <v>72</v>
      </c>
      <c r="C33" s="24">
        <f>-C32*'Fane 10. Nøgletal'!C18</f>
        <v>0</v>
      </c>
      <c r="D33" s="25" t="s">
        <v>3</v>
      </c>
      <c r="E33" s="24">
        <f>-E32*'Fane 10. Nøgletal'!C18</f>
        <v>0</v>
      </c>
      <c r="F33" s="25" t="s">
        <v>3</v>
      </c>
      <c r="G33" s="1"/>
    </row>
    <row r="34" spans="1:7" x14ac:dyDescent="0.25">
      <c r="A34" s="1"/>
      <c r="B34" s="43" t="s">
        <v>113</v>
      </c>
      <c r="C34" s="10">
        <f>SUM(C32:C33)*(1+'Fane 10. Nøgletal'!C13)^5</f>
        <v>0</v>
      </c>
      <c r="D34" s="11" t="s">
        <v>3</v>
      </c>
      <c r="E34" s="10">
        <f>SUM(E32:E33)*(1+'Fane 10. Nøgletal'!C13)^5</f>
        <v>0</v>
      </c>
      <c r="F34" s="11" t="s">
        <v>3</v>
      </c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pPSQQ81cWLKe53gfMzvGxX7rL1I3IAx8MIwlQzka8ugAAQlie9eQIq6R+L00pAWBYBrRuhvnIytR/+rux2vsSw==" saltValue="ST/cEjF3yJ/umaEIW/uFdA==" spinCount="100000" sheet="1" objects="1" scenarios="1"/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45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41.140625" style="2" bestFit="1" customWidth="1"/>
    <col min="3" max="3" width="13.42578125" style="2" customWidth="1"/>
    <col min="4" max="4" width="3.28515625" style="2" customWidth="1"/>
    <col min="5" max="5" width="14.425781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9" t="s">
        <v>142</v>
      </c>
      <c r="C3" s="79"/>
      <c r="D3" s="79"/>
      <c r="E3" s="79"/>
      <c r="F3" s="79"/>
      <c r="G3" s="1"/>
    </row>
    <row r="4" spans="1:7" ht="25.5" customHeight="1" x14ac:dyDescent="0.25">
      <c r="A4" s="1"/>
      <c r="B4" s="79"/>
      <c r="C4" s="79"/>
      <c r="D4" s="79"/>
      <c r="E4" s="79"/>
      <c r="F4" s="7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1" t="s">
        <v>106</v>
      </c>
      <c r="C8" s="82"/>
      <c r="D8" s="82"/>
      <c r="E8" s="82"/>
      <c r="F8" s="83"/>
      <c r="G8" s="1"/>
    </row>
    <row r="9" spans="1:7" ht="15" customHeight="1" x14ac:dyDescent="0.25">
      <c r="A9" s="1"/>
      <c r="B9" s="41" t="s">
        <v>115</v>
      </c>
      <c r="C9" s="91" t="s">
        <v>11</v>
      </c>
      <c r="D9" s="92"/>
      <c r="E9" s="91" t="s">
        <v>31</v>
      </c>
      <c r="F9" s="92"/>
      <c r="G9" s="1"/>
    </row>
    <row r="10" spans="1:7" x14ac:dyDescent="0.25">
      <c r="A10" s="1"/>
      <c r="B10" s="20" t="s">
        <v>151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ht="28.5" customHeight="1" x14ac:dyDescent="0.25">
      <c r="A11" s="1"/>
      <c r="B11" s="18" t="s">
        <v>107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ht="27" customHeight="1" x14ac:dyDescent="0.25">
      <c r="A12" s="1"/>
      <c r="B12" s="18" t="s">
        <v>108</v>
      </c>
      <c r="C12" s="10">
        <f>C11*(1+'Fane 10. Nøgletal'!C13)</f>
        <v>0</v>
      </c>
      <c r="D12" s="11" t="s">
        <v>3</v>
      </c>
      <c r="E12" s="10">
        <f>E11*(1+'Fane 10. Nøgletal'!C13)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</sheetData>
  <sheetProtection algorithmName="SHA-512" hashValue="9YfjKHs+hqB7khPtJZWLspd5KjGMVCdomCAFwW6H+teQXhHu+ybfGMCdpkSn2EbXhlBE0gWZU5WrylE4uIi00w==" saltValue="gTu4J4KJOuD9gFNxWwtk4A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9" t="s">
        <v>143</v>
      </c>
      <c r="C3" s="79"/>
      <c r="D3" s="79"/>
      <c r="E3" s="79"/>
      <c r="F3" s="79"/>
      <c r="G3" s="1"/>
    </row>
    <row r="4" spans="1:7" ht="25.5" customHeight="1" x14ac:dyDescent="0.25">
      <c r="A4" s="1"/>
      <c r="B4" s="79"/>
      <c r="C4" s="79"/>
      <c r="D4" s="79"/>
      <c r="E4" s="79"/>
      <c r="F4" s="7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1" t="s">
        <v>59</v>
      </c>
      <c r="C8" s="82"/>
      <c r="D8" s="82"/>
      <c r="E8" s="82"/>
      <c r="F8" s="83"/>
      <c r="G8" s="1"/>
    </row>
    <row r="9" spans="1:7" ht="15" customHeight="1" x14ac:dyDescent="0.25">
      <c r="A9" s="1"/>
      <c r="B9" s="41" t="s">
        <v>17</v>
      </c>
      <c r="C9" s="41" t="s">
        <v>11</v>
      </c>
      <c r="D9" s="42"/>
      <c r="E9" s="41" t="s">
        <v>31</v>
      </c>
      <c r="F9" s="42"/>
      <c r="G9" s="1"/>
    </row>
    <row r="10" spans="1:7" x14ac:dyDescent="0.25">
      <c r="A10" s="1"/>
      <c r="B10" s="20" t="s">
        <v>152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25">
      <c r="A11" s="1"/>
      <c r="B11" s="43" t="s">
        <v>43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43" t="s">
        <v>54</v>
      </c>
      <c r="C12" s="10">
        <f>C11*(1+'Fane 10. Nøgletal'!C13)</f>
        <v>0</v>
      </c>
      <c r="D12" s="11" t="s">
        <v>3</v>
      </c>
      <c r="E12" s="10">
        <f>E11*(1+'Fane 10. Nøgletal'!C13)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81" t="s">
        <v>58</v>
      </c>
      <c r="C14" s="82"/>
      <c r="D14" s="82"/>
      <c r="E14" s="82"/>
      <c r="F14" s="83"/>
      <c r="G14" s="1"/>
    </row>
    <row r="15" spans="1:7" ht="26.25" x14ac:dyDescent="0.25">
      <c r="A15" s="1"/>
      <c r="B15" s="41" t="s">
        <v>17</v>
      </c>
      <c r="C15" s="41" t="s">
        <v>11</v>
      </c>
      <c r="D15" s="42"/>
      <c r="E15" s="41" t="s">
        <v>31</v>
      </c>
      <c r="F15" s="42"/>
      <c r="G15" s="1"/>
    </row>
    <row r="16" spans="1:7" x14ac:dyDescent="0.25">
      <c r="A16" s="1"/>
      <c r="B16" s="20" t="s">
        <v>152</v>
      </c>
      <c r="C16" s="8">
        <v>0</v>
      </c>
      <c r="D16" s="12" t="s">
        <v>3</v>
      </c>
      <c r="E16" s="8">
        <v>0</v>
      </c>
      <c r="F16" s="12" t="s">
        <v>3</v>
      </c>
      <c r="G16" s="1"/>
    </row>
    <row r="17" spans="1:7" x14ac:dyDescent="0.25">
      <c r="A17" s="1"/>
      <c r="B17" s="43" t="s">
        <v>43</v>
      </c>
      <c r="C17" s="10">
        <f>SUM(C16:C16)</f>
        <v>0</v>
      </c>
      <c r="D17" s="11" t="s">
        <v>3</v>
      </c>
      <c r="E17" s="10">
        <f>SUM(E16:E16)</f>
        <v>0</v>
      </c>
      <c r="F17" s="11" t="s">
        <v>3</v>
      </c>
      <c r="G17" s="1"/>
    </row>
    <row r="18" spans="1:7" x14ac:dyDescent="0.25">
      <c r="A18" s="1"/>
      <c r="B18" s="43" t="s">
        <v>55</v>
      </c>
      <c r="C18" s="10">
        <f>C17*(1+'Fane 10. Nøgletal'!C13)^2</f>
        <v>0</v>
      </c>
      <c r="D18" s="11" t="s">
        <v>3</v>
      </c>
      <c r="E18" s="10">
        <f>E17*(1+'Fane 10. Nøgletal'!C13)^2</f>
        <v>0</v>
      </c>
      <c r="F18" s="11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81" t="s">
        <v>60</v>
      </c>
      <c r="C20" s="82"/>
      <c r="D20" s="82"/>
      <c r="E20" s="82"/>
      <c r="F20" s="83"/>
      <c r="G20" s="1"/>
    </row>
    <row r="21" spans="1:7" ht="26.25" x14ac:dyDescent="0.25">
      <c r="A21" s="1"/>
      <c r="B21" s="41" t="s">
        <v>17</v>
      </c>
      <c r="C21" s="41" t="s">
        <v>11</v>
      </c>
      <c r="D21" s="42"/>
      <c r="E21" s="41" t="s">
        <v>31</v>
      </c>
      <c r="F21" s="42"/>
      <c r="G21" s="1"/>
    </row>
    <row r="22" spans="1:7" x14ac:dyDescent="0.25">
      <c r="A22" s="1"/>
      <c r="B22" s="20" t="s">
        <v>152</v>
      </c>
      <c r="C22" s="8">
        <v>0</v>
      </c>
      <c r="D22" s="12" t="s">
        <v>3</v>
      </c>
      <c r="E22" s="8">
        <v>0</v>
      </c>
      <c r="F22" s="12" t="s">
        <v>3</v>
      </c>
      <c r="G22" s="1"/>
    </row>
    <row r="23" spans="1:7" x14ac:dyDescent="0.25">
      <c r="A23" s="1"/>
      <c r="B23" s="43" t="s">
        <v>43</v>
      </c>
      <c r="C23" s="10">
        <f>SUM(C22:C22)</f>
        <v>0</v>
      </c>
      <c r="D23" s="11" t="s">
        <v>3</v>
      </c>
      <c r="E23" s="10">
        <f>SUM(E22:E22)</f>
        <v>0</v>
      </c>
      <c r="F23" s="11" t="s">
        <v>3</v>
      </c>
      <c r="G23" s="1"/>
    </row>
    <row r="24" spans="1:7" x14ac:dyDescent="0.25">
      <c r="A24" s="1"/>
      <c r="B24" s="43" t="s">
        <v>56</v>
      </c>
      <c r="C24" s="10">
        <f>C23*(1+'Fane 10. Nøgletal'!C13)^3</f>
        <v>0</v>
      </c>
      <c r="D24" s="11" t="s">
        <v>3</v>
      </c>
      <c r="E24" s="10">
        <f>E23*(1+'Fane 10. Nøgletal'!C13)^3</f>
        <v>0</v>
      </c>
      <c r="F24" s="11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81" t="s">
        <v>109</v>
      </c>
      <c r="C26" s="82"/>
      <c r="D26" s="82"/>
      <c r="E26" s="82"/>
      <c r="F26" s="83"/>
      <c r="G26" s="1"/>
    </row>
    <row r="27" spans="1:7" ht="26.25" x14ac:dyDescent="0.25">
      <c r="A27" s="1"/>
      <c r="B27" s="41" t="s">
        <v>17</v>
      </c>
      <c r="C27" s="41" t="s">
        <v>11</v>
      </c>
      <c r="D27" s="42"/>
      <c r="E27" s="41" t="s">
        <v>31</v>
      </c>
      <c r="F27" s="42"/>
      <c r="G27" s="1"/>
    </row>
    <row r="28" spans="1:7" x14ac:dyDescent="0.25">
      <c r="A28" s="1"/>
      <c r="B28" s="20" t="s">
        <v>152</v>
      </c>
      <c r="C28" s="8">
        <v>0</v>
      </c>
      <c r="D28" s="12" t="s">
        <v>3</v>
      </c>
      <c r="E28" s="8">
        <v>0</v>
      </c>
      <c r="F28" s="12" t="s">
        <v>3</v>
      </c>
      <c r="G28" s="1"/>
    </row>
    <row r="29" spans="1:7" x14ac:dyDescent="0.25">
      <c r="A29" s="1"/>
      <c r="B29" s="43" t="s">
        <v>43</v>
      </c>
      <c r="C29" s="10">
        <f>SUM(C28:C28)</f>
        <v>0</v>
      </c>
      <c r="D29" s="11" t="s">
        <v>3</v>
      </c>
      <c r="E29" s="10">
        <f>SUM(E28:E28)</f>
        <v>0</v>
      </c>
      <c r="F29" s="11" t="s">
        <v>3</v>
      </c>
      <c r="G29" s="1"/>
    </row>
    <row r="30" spans="1:7" x14ac:dyDescent="0.25">
      <c r="A30" s="1"/>
      <c r="B30" s="43" t="s">
        <v>110</v>
      </c>
      <c r="C30" s="10">
        <f>C29*(1+'Fane 10. Nøgletal'!C13)^4</f>
        <v>0</v>
      </c>
      <c r="D30" s="11" t="s">
        <v>3</v>
      </c>
      <c r="E30" s="10">
        <f>E29*(1+'Fane 10. Nøgletal'!C13)^4</f>
        <v>0</v>
      </c>
      <c r="F30" s="11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ywgJU6xUBOFxMxJZJEiXy+i0pOJoGz+UOlZtsYl4VdNVw1HKc0TxFC7uA0OFf6N2cYywn6iTbEAbOhZcFBG7fg==" saltValue="u7/smtBdI8hhipgxj3OoxQ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49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5.8554687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79" t="s">
        <v>144</v>
      </c>
      <c r="C3" s="79"/>
      <c r="D3" s="1"/>
    </row>
    <row r="4" spans="1:4" ht="25.5" customHeight="1" x14ac:dyDescent="0.25">
      <c r="A4" s="1"/>
      <c r="B4" s="79"/>
      <c r="C4" s="79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43" t="s">
        <v>14</v>
      </c>
      <c r="C8" s="44"/>
      <c r="D8" s="1"/>
    </row>
    <row r="9" spans="1:4" x14ac:dyDescent="0.25">
      <c r="A9" s="1"/>
      <c r="B9" s="26" t="s">
        <v>77</v>
      </c>
      <c r="C9" s="21">
        <v>1.2699999999999999E-2</v>
      </c>
      <c r="D9" s="1"/>
    </row>
    <row r="10" spans="1:4" x14ac:dyDescent="0.25">
      <c r="A10" s="1"/>
      <c r="B10" s="26" t="s">
        <v>22</v>
      </c>
      <c r="C10" s="21">
        <v>1.7500000000000002E-2</v>
      </c>
      <c r="D10" s="1"/>
    </row>
    <row r="11" spans="1:4" x14ac:dyDescent="0.25">
      <c r="A11" s="1"/>
      <c r="B11" s="26" t="s">
        <v>23</v>
      </c>
      <c r="C11" s="21">
        <v>1.6899999999999998E-2</v>
      </c>
      <c r="D11" s="1"/>
    </row>
    <row r="12" spans="1:4" x14ac:dyDescent="0.25">
      <c r="A12" s="1"/>
      <c r="B12" s="28" t="s">
        <v>41</v>
      </c>
      <c r="C12" s="29">
        <v>1.9699999999999999E-2</v>
      </c>
      <c r="D12" s="1"/>
    </row>
    <row r="13" spans="1:4" x14ac:dyDescent="0.25">
      <c r="A13" s="1"/>
      <c r="B13" s="28" t="s">
        <v>111</v>
      </c>
      <c r="C13" s="29">
        <v>1.2200000000000001E-2</v>
      </c>
      <c r="D13" s="1"/>
    </row>
    <row r="14" spans="1:4" x14ac:dyDescent="0.25">
      <c r="A14" s="1"/>
      <c r="B14" s="43"/>
      <c r="C14" s="44"/>
      <c r="D14" s="1"/>
    </row>
    <row r="15" spans="1:4" x14ac:dyDescent="0.25">
      <c r="A15" s="1"/>
      <c r="B15" s="1"/>
      <c r="C15" s="1"/>
      <c r="D15" s="1"/>
    </row>
    <row r="16" spans="1:4" x14ac:dyDescent="0.25">
      <c r="A16" s="1"/>
      <c r="B16" s="1"/>
      <c r="C16" s="1"/>
      <c r="D16" s="1"/>
    </row>
    <row r="17" spans="1:4" x14ac:dyDescent="0.25">
      <c r="A17" s="1"/>
      <c r="B17" s="43" t="s">
        <v>72</v>
      </c>
      <c r="C17" s="44"/>
      <c r="D17" s="1"/>
    </row>
    <row r="18" spans="1:4" x14ac:dyDescent="0.25">
      <c r="A18" s="1"/>
      <c r="B18" s="26" t="s">
        <v>78</v>
      </c>
      <c r="C18" s="21">
        <v>1.7000000000000001E-2</v>
      </c>
      <c r="D18" s="1"/>
    </row>
    <row r="19" spans="1:4" x14ac:dyDescent="0.25">
      <c r="A19" s="1"/>
      <c r="B19" s="93"/>
      <c r="C19" s="94"/>
      <c r="D19" s="1"/>
    </row>
    <row r="20" spans="1:4" x14ac:dyDescent="0.25">
      <c r="A20" s="1"/>
      <c r="B20" s="1"/>
      <c r="C20" s="1"/>
      <c r="D20" s="1"/>
    </row>
    <row r="21" spans="1:4" x14ac:dyDescent="0.25">
      <c r="A21" s="1"/>
      <c r="B21" s="1"/>
      <c r="C21" s="1"/>
      <c r="D21" s="1"/>
    </row>
    <row r="22" spans="1:4" x14ac:dyDescent="0.25">
      <c r="A22" s="1"/>
      <c r="B22" s="1"/>
      <c r="C22" s="1"/>
      <c r="D22" s="1"/>
    </row>
    <row r="23" spans="1:4" x14ac:dyDescent="0.25">
      <c r="A23" s="1"/>
      <c r="B23" s="1"/>
      <c r="C23" s="1"/>
      <c r="D23" s="1"/>
    </row>
    <row r="24" spans="1:4" x14ac:dyDescent="0.25">
      <c r="A24" s="1"/>
      <c r="B24" s="1"/>
      <c r="C24" s="1"/>
      <c r="D24" s="1"/>
    </row>
    <row r="25" spans="1:4" x14ac:dyDescent="0.25">
      <c r="A25" s="1"/>
      <c r="B25" s="1"/>
      <c r="C25" s="1"/>
      <c r="D25" s="1"/>
    </row>
    <row r="26" spans="1:4" x14ac:dyDescent="0.25">
      <c r="A26" s="1"/>
      <c r="B26" s="1"/>
      <c r="C26" s="1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1"/>
      <c r="C28" s="1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</sheetData>
  <sheetProtection algorithmName="SHA-512" hashValue="9tOKeFfYEXmo0Xp4HHIdmAbmI5oxZEyG67pbwQmzpN5EGOWMHpnUd1ERqbgxSajs30mz7BLzWkBQFeE5B7L8+Q==" saltValue="SSZY1A+3g78ITlQ2hN8T/w==" spinCount="100000" sheet="1" objects="1" scenarios="1"/>
  <mergeCells count="2">
    <mergeCell ref="B3:C4"/>
    <mergeCell ref="B19:C19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48"/>
  <sheetViews>
    <sheetView showGridLines="0" view="pageLayout" zoomScaleNormal="100" workbookViewId="0"/>
  </sheetViews>
  <sheetFormatPr defaultColWidth="9" defaultRowHeight="15" x14ac:dyDescent="0.25"/>
  <cols>
    <col min="1" max="1" width="5.140625" style="2" customWidth="1"/>
    <col min="2" max="2" width="60.5703125" style="2" customWidth="1"/>
    <col min="3" max="3" width="9.140625" style="2" hidden="1" customWidth="1"/>
    <col min="4" max="4" width="27.140625" style="2" hidden="1" customWidth="1"/>
    <col min="5" max="5" width="10.140625" style="2" customWidth="1"/>
    <col min="6" max="6" width="3.85546875" style="2" customWidth="1"/>
    <col min="7" max="7" width="6.28515625" style="2" customWidth="1"/>
    <col min="8" max="16384" width="9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3" t="s">
        <v>88</v>
      </c>
      <c r="C3" s="63"/>
      <c r="D3" s="63"/>
      <c r="E3" s="63"/>
      <c r="F3" s="63"/>
      <c r="G3" s="1"/>
    </row>
    <row r="4" spans="1:7" ht="15" customHeight="1" x14ac:dyDescent="0.25">
      <c r="A4" s="1"/>
      <c r="B4" s="63"/>
      <c r="C4" s="63"/>
      <c r="D4" s="63"/>
      <c r="E4" s="63"/>
      <c r="F4" s="63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13</v>
      </c>
      <c r="C8" s="38"/>
      <c r="D8" s="38"/>
      <c r="E8" s="38"/>
      <c r="F8" s="38"/>
      <c r="G8" s="1"/>
    </row>
    <row r="9" spans="1:7" x14ac:dyDescent="0.25">
      <c r="A9" s="1"/>
      <c r="B9" s="33" t="s">
        <v>26</v>
      </c>
      <c r="C9" s="33"/>
      <c r="D9" s="33"/>
      <c r="E9" s="7">
        <f>'Fane 3. Omkostninger i ØR2020'!E16</f>
        <v>3074532.6604448222</v>
      </c>
      <c r="F9" s="33" t="s">
        <v>3</v>
      </c>
      <c r="G9" s="1"/>
    </row>
    <row r="10" spans="1:7" ht="17.100000000000001" customHeight="1" x14ac:dyDescent="0.25">
      <c r="A10" s="1"/>
      <c r="B10" s="33" t="s">
        <v>120</v>
      </c>
      <c r="C10" s="33"/>
      <c r="D10" s="33"/>
      <c r="E10" s="7">
        <v>59194.35571206551</v>
      </c>
      <c r="F10" s="33" t="s">
        <v>3</v>
      </c>
      <c r="G10" s="1"/>
    </row>
    <row r="11" spans="1:7" ht="17.100000000000001" customHeight="1" x14ac:dyDescent="0.25">
      <c r="A11" s="1"/>
      <c r="B11" s="27" t="s">
        <v>80</v>
      </c>
      <c r="C11" s="33"/>
      <c r="D11" s="33"/>
      <c r="E11" s="7">
        <f>'Fane 7.1. Varige tillæg'!C13+'Fane 7.1. Varige tillæg'!E13</f>
        <v>2362.4748</v>
      </c>
      <c r="F11" s="33" t="s">
        <v>3</v>
      </c>
      <c r="G11" s="1"/>
    </row>
    <row r="12" spans="1:7" ht="17.100000000000001" customHeight="1" x14ac:dyDescent="0.25">
      <c r="A12" s="1"/>
      <c r="B12" s="27" t="s">
        <v>82</v>
      </c>
      <c r="C12" s="33"/>
      <c r="D12" s="33"/>
      <c r="E12" s="8">
        <f>-('Fane 9. Bortfald'!C12+'Fane 9. Bortfald'!E12)</f>
        <v>0</v>
      </c>
      <c r="F12" s="33" t="s">
        <v>3</v>
      </c>
      <c r="G12" s="1"/>
    </row>
    <row r="13" spans="1:7" ht="17.100000000000001" customHeight="1" x14ac:dyDescent="0.25">
      <c r="A13" s="1"/>
      <c r="B13" s="27" t="s">
        <v>89</v>
      </c>
      <c r="C13" s="33"/>
      <c r="D13" s="33"/>
      <c r="E13" s="8">
        <f>'Fane 8. Tilknyttet virksomhed'!C12+'Fane 8. Tilknyttet virksomhed'!E12</f>
        <v>0</v>
      </c>
      <c r="F13" s="33" t="s">
        <v>3</v>
      </c>
      <c r="G13" s="1"/>
    </row>
    <row r="14" spans="1:7" ht="17.100000000000001" customHeight="1" x14ac:dyDescent="0.25">
      <c r="A14" s="1"/>
      <c r="B14" s="27" t="s">
        <v>18</v>
      </c>
      <c r="C14" s="33"/>
      <c r="D14" s="33"/>
      <c r="E14" s="8">
        <f>SUM(E9:E13)*'Fane 10. Nøgletal'!C13</f>
        <v>38260.291789674033</v>
      </c>
      <c r="F14" s="33" t="s">
        <v>3</v>
      </c>
      <c r="G14" s="1"/>
    </row>
    <row r="15" spans="1:7" ht="17.100000000000001" customHeight="1" x14ac:dyDescent="0.25">
      <c r="A15" s="1"/>
      <c r="B15" s="27" t="s">
        <v>72</v>
      </c>
      <c r="C15" s="33"/>
      <c r="D15" s="33"/>
      <c r="E15" s="8">
        <f>-SUM(E9:E14)*'Fane 10. Nøgletal'!C18</f>
        <v>-53963.946306691556</v>
      </c>
      <c r="F15" s="33" t="s">
        <v>3</v>
      </c>
      <c r="G15" s="1"/>
    </row>
    <row r="16" spans="1:7" ht="15" customHeight="1" x14ac:dyDescent="0.25">
      <c r="A16" s="1"/>
      <c r="B16" s="40" t="s">
        <v>20</v>
      </c>
      <c r="C16" s="37"/>
      <c r="D16" s="37"/>
      <c r="E16" s="9">
        <f>SUM(E9:E15)</f>
        <v>3120385.8364398703</v>
      </c>
      <c r="F16" s="39" t="s">
        <v>3</v>
      </c>
      <c r="G16" s="1"/>
    </row>
    <row r="17" spans="1:7" ht="15" customHeight="1" x14ac:dyDescent="0.25">
      <c r="A17" s="1"/>
      <c r="B17" s="38" t="s">
        <v>12</v>
      </c>
      <c r="C17" s="38"/>
      <c r="D17" s="38"/>
      <c r="E17" s="38"/>
      <c r="F17" s="38"/>
      <c r="G17" s="1"/>
    </row>
    <row r="18" spans="1:7" ht="15" customHeight="1" x14ac:dyDescent="0.25">
      <c r="A18" s="1"/>
      <c r="B18" s="39" t="s">
        <v>12</v>
      </c>
      <c r="C18" s="39"/>
      <c r="D18" s="39"/>
      <c r="E18" s="9">
        <f>'Fane 4. Ikke-påvirkelige omk.'!C15</f>
        <v>1441553.53701492</v>
      </c>
      <c r="F18" s="39" t="s">
        <v>3</v>
      </c>
      <c r="G18" s="1"/>
    </row>
    <row r="19" spans="1:7" ht="15" customHeight="1" x14ac:dyDescent="0.25">
      <c r="A19" s="1"/>
      <c r="B19" s="38" t="s">
        <v>52</v>
      </c>
      <c r="C19" s="38"/>
      <c r="D19" s="38"/>
      <c r="E19" s="38"/>
      <c r="F19" s="38"/>
      <c r="G19" s="1"/>
    </row>
    <row r="20" spans="1:7" ht="15" customHeight="1" x14ac:dyDescent="0.25">
      <c r="A20" s="1"/>
      <c r="B20" s="27" t="s">
        <v>49</v>
      </c>
      <c r="C20" s="33"/>
      <c r="D20" s="33"/>
      <c r="E20" s="8">
        <f>'Fane 7.2. Engangstillæg'!C13</f>
        <v>0</v>
      </c>
      <c r="F20" s="33" t="s">
        <v>3</v>
      </c>
      <c r="G20" s="1"/>
    </row>
    <row r="21" spans="1:7" x14ac:dyDescent="0.25">
      <c r="A21" s="1"/>
      <c r="B21" s="27" t="s">
        <v>50</v>
      </c>
      <c r="C21" s="33"/>
      <c r="D21" s="33"/>
      <c r="E21" s="8">
        <f>'Fane 7.2. Engangstillæg'!E13</f>
        <v>0</v>
      </c>
      <c r="F21" s="33" t="s">
        <v>3</v>
      </c>
      <c r="G21" s="1"/>
    </row>
    <row r="22" spans="1:7" ht="15" customHeight="1" x14ac:dyDescent="0.25">
      <c r="A22" s="1"/>
      <c r="B22" s="40" t="s">
        <v>53</v>
      </c>
      <c r="C22" s="37"/>
      <c r="D22" s="37"/>
      <c r="E22" s="9">
        <f>SUM(E20:E21)</f>
        <v>0</v>
      </c>
      <c r="F22" s="39" t="s">
        <v>3</v>
      </c>
      <c r="G22" s="1"/>
    </row>
    <row r="23" spans="1:7" x14ac:dyDescent="0.25">
      <c r="A23" s="1"/>
      <c r="B23" s="38" t="s">
        <v>124</v>
      </c>
      <c r="C23" s="38"/>
      <c r="D23" s="38"/>
      <c r="E23" s="38"/>
      <c r="F23" s="38"/>
      <c r="G23" s="1"/>
    </row>
    <row r="24" spans="1:7" x14ac:dyDescent="0.25">
      <c r="A24" s="1"/>
      <c r="B24" s="40" t="s">
        <v>36</v>
      </c>
      <c r="C24" s="37"/>
      <c r="D24" s="37"/>
      <c r="E24" s="9">
        <f>'Fane 5. Kontrol af ØR2019'!E42</f>
        <v>374478.21993068914</v>
      </c>
      <c r="F24" s="39" t="s">
        <v>3</v>
      </c>
      <c r="G24" s="1"/>
    </row>
    <row r="25" spans="1:7" x14ac:dyDescent="0.25">
      <c r="A25" s="1"/>
      <c r="B25" s="40" t="s">
        <v>125</v>
      </c>
      <c r="C25" s="37"/>
      <c r="D25" s="37"/>
      <c r="E25" s="9">
        <f>'Fane 5. Kontrol af ØR2019'!E43</f>
        <v>0</v>
      </c>
      <c r="F25" s="39" t="s">
        <v>3</v>
      </c>
      <c r="G25" s="1"/>
    </row>
    <row r="26" spans="1:7" x14ac:dyDescent="0.25">
      <c r="A26" s="1"/>
      <c r="B26" s="38" t="s">
        <v>28</v>
      </c>
      <c r="C26" s="38"/>
      <c r="D26" s="38"/>
      <c r="E26" s="10">
        <f>SUM(E16,E18,E22,E24,E25)</f>
        <v>4936417.5933854794</v>
      </c>
      <c r="F26" s="11" t="s">
        <v>3</v>
      </c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algorithmName="SHA-512" hashValue="472RmNjAxhwlArXMB/GGeCqRtTYVBqHKDRBNEjywai4KDG78bGQ9Z2d+WXPJp6lQCI5zo3ogSNLTPEBn+TIUqw==" saltValue="EC0meTpcu0xZzaQ/c8IZIw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57031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3" t="s">
        <v>90</v>
      </c>
      <c r="C3" s="63"/>
      <c r="D3" s="63"/>
      <c r="E3" s="63"/>
      <c r="F3" s="63"/>
      <c r="G3" s="1"/>
    </row>
    <row r="4" spans="1:7" ht="15" customHeight="1" x14ac:dyDescent="0.25">
      <c r="A4" s="1"/>
      <c r="B4" s="63"/>
      <c r="C4" s="63"/>
      <c r="D4" s="63"/>
      <c r="E4" s="63"/>
      <c r="F4" s="63"/>
      <c r="G4" s="1"/>
    </row>
    <row r="5" spans="1:7" x14ac:dyDescent="0.25">
      <c r="A5" s="1"/>
      <c r="B5" s="64"/>
      <c r="C5" s="64"/>
      <c r="D5" s="64"/>
      <c r="E5" s="64"/>
      <c r="F5" s="64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13</v>
      </c>
      <c r="C8" s="38"/>
      <c r="D8" s="38"/>
      <c r="E8" s="38"/>
      <c r="F8" s="38"/>
      <c r="G8" s="1"/>
    </row>
    <row r="9" spans="1:7" ht="15" customHeight="1" x14ac:dyDescent="0.25">
      <c r="A9" s="1"/>
      <c r="B9" s="33" t="s">
        <v>27</v>
      </c>
      <c r="C9" s="33"/>
      <c r="D9" s="33"/>
      <c r="E9" s="7">
        <f>'Fane 2.1. Økonomisk ramme 2021'!E16</f>
        <v>3120385.8364398703</v>
      </c>
      <c r="F9" s="33" t="s">
        <v>3</v>
      </c>
      <c r="G9" s="1"/>
    </row>
    <row r="10" spans="1:7" ht="15" customHeight="1" x14ac:dyDescent="0.25">
      <c r="A10" s="1"/>
      <c r="B10" s="27" t="s">
        <v>82</v>
      </c>
      <c r="C10" s="33"/>
      <c r="D10" s="33"/>
      <c r="E10" s="7">
        <f>-('Fane 9. Bortfald'!C18+'Fane 9. Bortfald'!E18)</f>
        <v>0</v>
      </c>
      <c r="F10" s="33" t="s">
        <v>3</v>
      </c>
      <c r="G10" s="1"/>
    </row>
    <row r="11" spans="1:7" ht="15" customHeight="1" x14ac:dyDescent="0.25">
      <c r="A11" s="1"/>
      <c r="B11" s="34" t="s">
        <v>18</v>
      </c>
      <c r="C11" s="33"/>
      <c r="D11" s="33"/>
      <c r="E11" s="8">
        <f>SUM(E9:E10)*'Fane 10. Nøgletal'!C13</f>
        <v>38068.707204566417</v>
      </c>
      <c r="F11" s="33" t="s">
        <v>3</v>
      </c>
      <c r="G11" s="1"/>
    </row>
    <row r="12" spans="1:7" ht="15" customHeight="1" x14ac:dyDescent="0.25">
      <c r="A12" s="1"/>
      <c r="B12" s="34" t="s">
        <v>72</v>
      </c>
      <c r="C12" s="33"/>
      <c r="D12" s="33"/>
      <c r="E12" s="8">
        <f>-SUM(E9:E11)*'Fane 10. Nøgletal'!C18</f>
        <v>-53693.727241955428</v>
      </c>
      <c r="F12" s="33" t="s">
        <v>3</v>
      </c>
      <c r="G12" s="1"/>
    </row>
    <row r="13" spans="1:7" ht="15" customHeight="1" x14ac:dyDescent="0.25">
      <c r="A13" s="1"/>
      <c r="B13" s="37" t="s">
        <v>20</v>
      </c>
      <c r="C13" s="37"/>
      <c r="D13" s="37"/>
      <c r="E13" s="9">
        <f>SUM(E9:E12)</f>
        <v>3104760.8164024814</v>
      </c>
      <c r="F13" s="39" t="s">
        <v>3</v>
      </c>
      <c r="G13" s="1"/>
    </row>
    <row r="14" spans="1:7" x14ac:dyDescent="0.25">
      <c r="A14" s="1"/>
      <c r="B14" s="38" t="s">
        <v>12</v>
      </c>
      <c r="C14" s="38"/>
      <c r="D14" s="38"/>
      <c r="E14" s="38"/>
      <c r="F14" s="38"/>
      <c r="G14" s="1"/>
    </row>
    <row r="15" spans="1:7" ht="15" customHeight="1" x14ac:dyDescent="0.25">
      <c r="A15" s="1"/>
      <c r="B15" s="39" t="s">
        <v>12</v>
      </c>
      <c r="C15" s="39"/>
      <c r="D15" s="39"/>
      <c r="E15" s="9">
        <f>'Fane 4. Ikke-påvirkelige omk.'!C15*(1+'Fane 10. Nøgletal'!C13)</f>
        <v>1459140.4901665021</v>
      </c>
      <c r="F15" s="39" t="s">
        <v>3</v>
      </c>
      <c r="G15" s="1"/>
    </row>
    <row r="16" spans="1:7" ht="15" customHeight="1" x14ac:dyDescent="0.25">
      <c r="A16" s="1"/>
      <c r="B16" s="38" t="s">
        <v>52</v>
      </c>
      <c r="C16" s="38"/>
      <c r="D16" s="38"/>
      <c r="E16" s="38"/>
      <c r="F16" s="38"/>
      <c r="G16" s="1"/>
    </row>
    <row r="17" spans="1:7" ht="15" customHeight="1" x14ac:dyDescent="0.25">
      <c r="A17" s="1"/>
      <c r="B17" s="27" t="s">
        <v>49</v>
      </c>
      <c r="C17" s="33"/>
      <c r="D17" s="33"/>
      <c r="E17" s="8">
        <f>'Fane 7.2. Engangstillæg'!C20</f>
        <v>0</v>
      </c>
      <c r="F17" s="33" t="s">
        <v>3</v>
      </c>
      <c r="G17" s="1"/>
    </row>
    <row r="18" spans="1:7" ht="15" customHeight="1" x14ac:dyDescent="0.25">
      <c r="A18" s="1"/>
      <c r="B18" s="27" t="s">
        <v>50</v>
      </c>
      <c r="C18" s="33"/>
      <c r="D18" s="33"/>
      <c r="E18" s="8">
        <f>'Fane 7.2. Engangstillæg'!E20</f>
        <v>0</v>
      </c>
      <c r="F18" s="33" t="s">
        <v>3</v>
      </c>
      <c r="G18" s="1"/>
    </row>
    <row r="19" spans="1:7" ht="15" customHeight="1" x14ac:dyDescent="0.25">
      <c r="A19" s="1"/>
      <c r="B19" s="40" t="s">
        <v>53</v>
      </c>
      <c r="C19" s="37"/>
      <c r="D19" s="37"/>
      <c r="E19" s="9">
        <f>SUM(E17:E18)</f>
        <v>0</v>
      </c>
      <c r="F19" s="39" t="s">
        <v>3</v>
      </c>
      <c r="G19" s="1"/>
    </row>
    <row r="20" spans="1:7" x14ac:dyDescent="0.25">
      <c r="A20" s="1"/>
      <c r="B20" s="38" t="s">
        <v>124</v>
      </c>
      <c r="C20" s="38"/>
      <c r="D20" s="38"/>
      <c r="E20" s="38"/>
      <c r="F20" s="38"/>
      <c r="G20" s="1"/>
    </row>
    <row r="21" spans="1:7" ht="15" customHeight="1" x14ac:dyDescent="0.25">
      <c r="A21" s="1"/>
      <c r="B21" s="39" t="s">
        <v>36</v>
      </c>
      <c r="C21" s="39"/>
      <c r="D21" s="39"/>
      <c r="E21" s="9">
        <f>'Fane 5. Kontrol af ØR2019'!E42</f>
        <v>374478.21993068914</v>
      </c>
      <c r="F21" s="39" t="s">
        <v>3</v>
      </c>
      <c r="G21" s="1"/>
    </row>
    <row r="22" spans="1:7" x14ac:dyDescent="0.25">
      <c r="A22" s="1"/>
      <c r="B22" s="40" t="s">
        <v>125</v>
      </c>
      <c r="C22" s="39"/>
      <c r="D22" s="39"/>
      <c r="E22" s="9">
        <f>'Fane 5. Kontrol af ØR2019'!E43</f>
        <v>0</v>
      </c>
      <c r="F22" s="39" t="s">
        <v>3</v>
      </c>
      <c r="G22" s="1"/>
    </row>
    <row r="23" spans="1:7" x14ac:dyDescent="0.25">
      <c r="A23" s="1"/>
      <c r="B23" s="38" t="s">
        <v>29</v>
      </c>
      <c r="C23" s="38"/>
      <c r="D23" s="38"/>
      <c r="E23" s="10">
        <f>SUM(E13,E15,E19,E21,E22)</f>
        <v>4938379.5264996728</v>
      </c>
      <c r="F23" s="11" t="s">
        <v>3</v>
      </c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TZzgVJy58qf1sVJQfUrB7q9gEtIRmUvsajialWSlT1XfmGgwegMX82Ea6Bpui23NzB0qtlL/NHpjt4HDhQdD5A==" saltValue="9XJAhFKZEocUfY6N4Mx17Q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3" t="s">
        <v>91</v>
      </c>
      <c r="C3" s="63"/>
      <c r="D3" s="63"/>
      <c r="E3" s="63"/>
      <c r="F3" s="63"/>
      <c r="G3" s="1"/>
    </row>
    <row r="4" spans="1:7" ht="15" customHeight="1" x14ac:dyDescent="0.25">
      <c r="A4" s="1"/>
      <c r="B4" s="63"/>
      <c r="C4" s="63"/>
      <c r="D4" s="63"/>
      <c r="E4" s="63"/>
      <c r="F4" s="63"/>
      <c r="G4" s="1"/>
    </row>
    <row r="5" spans="1:7" x14ac:dyDescent="0.25">
      <c r="A5" s="1"/>
      <c r="B5" s="64" t="s">
        <v>21</v>
      </c>
      <c r="C5" s="64"/>
      <c r="D5" s="64"/>
      <c r="E5" s="64"/>
      <c r="F5" s="64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38" t="s">
        <v>13</v>
      </c>
      <c r="C7" s="38"/>
      <c r="D7" s="38"/>
      <c r="E7" s="38"/>
      <c r="F7" s="38"/>
      <c r="G7" s="1"/>
    </row>
    <row r="8" spans="1:7" ht="15" customHeight="1" x14ac:dyDescent="0.25">
      <c r="A8" s="1"/>
      <c r="B8" s="33" t="s">
        <v>92</v>
      </c>
      <c r="C8" s="33"/>
      <c r="D8" s="33"/>
      <c r="E8" s="7">
        <f>'Fane 2.2. Økonomisk ramme 2022'!E13</f>
        <v>3104760.8164024814</v>
      </c>
      <c r="F8" s="33" t="s">
        <v>3</v>
      </c>
      <c r="G8" s="1"/>
    </row>
    <row r="9" spans="1:7" ht="15" customHeight="1" x14ac:dyDescent="0.25">
      <c r="A9" s="1"/>
      <c r="B9" s="33" t="s">
        <v>82</v>
      </c>
      <c r="C9" s="33"/>
      <c r="D9" s="33"/>
      <c r="E9" s="7">
        <f>-('Fane 9. Bortfald'!C24+'Fane 9. Bortfald'!E24)</f>
        <v>0</v>
      </c>
      <c r="F9" s="33" t="s">
        <v>3</v>
      </c>
      <c r="G9" s="1"/>
    </row>
    <row r="10" spans="1:7" ht="15" customHeight="1" x14ac:dyDescent="0.25">
      <c r="A10" s="1"/>
      <c r="B10" s="34" t="s">
        <v>18</v>
      </c>
      <c r="C10" s="33"/>
      <c r="D10" s="33"/>
      <c r="E10" s="8">
        <f>SUM(E8:E9)*'Fane 10. Nøgletal'!C13</f>
        <v>37878.081960110278</v>
      </c>
      <c r="F10" s="33" t="s">
        <v>3</v>
      </c>
      <c r="G10" s="1"/>
    </row>
    <row r="11" spans="1:7" ht="15" customHeight="1" x14ac:dyDescent="0.25">
      <c r="A11" s="1"/>
      <c r="B11" s="34" t="s">
        <v>72</v>
      </c>
      <c r="C11" s="33"/>
      <c r="D11" s="33"/>
      <c r="E11" s="8">
        <f>-SUM(E8:E10)*'Fane 10. Nøgletal'!C18</f>
        <v>-53424.861272164067</v>
      </c>
      <c r="F11" s="33" t="s">
        <v>3</v>
      </c>
      <c r="G11" s="1"/>
    </row>
    <row r="12" spans="1:7" x14ac:dyDescent="0.25">
      <c r="A12" s="1"/>
      <c r="B12" s="37" t="s">
        <v>20</v>
      </c>
      <c r="C12" s="37"/>
      <c r="D12" s="37"/>
      <c r="E12" s="9">
        <f>SUM(E8:E11)</f>
        <v>3089214.0370904277</v>
      </c>
      <c r="F12" s="39" t="s">
        <v>3</v>
      </c>
      <c r="G12" s="1"/>
    </row>
    <row r="13" spans="1:7" x14ac:dyDescent="0.25">
      <c r="A13" s="1"/>
      <c r="B13" s="38" t="s">
        <v>12</v>
      </c>
      <c r="C13" s="38"/>
      <c r="D13" s="38"/>
      <c r="E13" s="38"/>
      <c r="F13" s="38"/>
      <c r="G13" s="1"/>
    </row>
    <row r="14" spans="1:7" ht="15" customHeight="1" x14ac:dyDescent="0.25">
      <c r="A14" s="1"/>
      <c r="B14" s="39" t="s">
        <v>12</v>
      </c>
      <c r="C14" s="39"/>
      <c r="D14" s="39"/>
      <c r="E14" s="9">
        <f>'Fane 4. Ikke-påvirkelige omk.'!C15*(1+'Fane 10. Nøgletal'!C13)^2</f>
        <v>1476942.0041465333</v>
      </c>
      <c r="F14" s="39" t="s">
        <v>3</v>
      </c>
      <c r="G14" s="1"/>
    </row>
    <row r="15" spans="1:7" ht="15" customHeight="1" x14ac:dyDescent="0.25">
      <c r="A15" s="1"/>
      <c r="B15" s="38" t="s">
        <v>52</v>
      </c>
      <c r="C15" s="38"/>
      <c r="D15" s="38"/>
      <c r="E15" s="38"/>
      <c r="F15" s="38"/>
      <c r="G15" s="1"/>
    </row>
    <row r="16" spans="1:7" ht="15" customHeight="1" x14ac:dyDescent="0.25">
      <c r="A16" s="1"/>
      <c r="B16" s="27" t="s">
        <v>49</v>
      </c>
      <c r="C16" s="33"/>
      <c r="D16" s="33"/>
      <c r="E16" s="8">
        <f>'Fane 7.2. Engangstillæg'!C27</f>
        <v>0</v>
      </c>
      <c r="F16" s="33" t="s">
        <v>3</v>
      </c>
      <c r="G16" s="1"/>
    </row>
    <row r="17" spans="1:7" ht="15" customHeight="1" x14ac:dyDescent="0.25">
      <c r="A17" s="1"/>
      <c r="B17" s="27" t="s">
        <v>50</v>
      </c>
      <c r="C17" s="33"/>
      <c r="D17" s="33"/>
      <c r="E17" s="8">
        <f>'Fane 7.2. Engangstillæg'!E27</f>
        <v>0</v>
      </c>
      <c r="F17" s="33" t="s">
        <v>3</v>
      </c>
      <c r="G17" s="1"/>
    </row>
    <row r="18" spans="1:7" ht="15" customHeight="1" x14ac:dyDescent="0.25">
      <c r="A18" s="1"/>
      <c r="B18" s="40" t="s">
        <v>53</v>
      </c>
      <c r="C18" s="37"/>
      <c r="D18" s="37"/>
      <c r="E18" s="9">
        <f>SUM(E16:E17)</f>
        <v>0</v>
      </c>
      <c r="F18" s="39" t="s">
        <v>3</v>
      </c>
      <c r="G18" s="1"/>
    </row>
    <row r="19" spans="1:7" ht="15" customHeight="1" x14ac:dyDescent="0.25">
      <c r="A19" s="1"/>
      <c r="B19" s="38" t="s">
        <v>57</v>
      </c>
      <c r="C19" s="38"/>
      <c r="D19" s="38"/>
      <c r="E19" s="10">
        <f>SUM(E12,E14,E18)</f>
        <v>4566156.0412369613</v>
      </c>
      <c r="F19" s="11" t="s">
        <v>3</v>
      </c>
      <c r="G19" s="1"/>
    </row>
    <row r="20" spans="1:7" ht="15" customHeight="1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Ms7Nu7XSh/MtWi4CmdmXoIO/mS6pkV6DQNsZA4i14NiuEPaCYHxX1m+maQ3WS2RGlolIuSrtpxI0jtEuZEMSZg==" saltValue="VBN2cFGVEkcak1jentwmgw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3" t="s">
        <v>93</v>
      </c>
      <c r="C3" s="63"/>
      <c r="D3" s="63"/>
      <c r="E3" s="63"/>
      <c r="F3" s="63"/>
      <c r="G3" s="1"/>
    </row>
    <row r="4" spans="1:7" ht="15" customHeight="1" x14ac:dyDescent="0.25">
      <c r="A4" s="1"/>
      <c r="B4" s="63"/>
      <c r="C4" s="63"/>
      <c r="D4" s="63"/>
      <c r="E4" s="63"/>
      <c r="F4" s="63"/>
      <c r="G4" s="1"/>
    </row>
    <row r="5" spans="1:7" x14ac:dyDescent="0.25">
      <c r="A5" s="1"/>
      <c r="B5" s="64" t="s">
        <v>21</v>
      </c>
      <c r="C5" s="64"/>
      <c r="D5" s="64"/>
      <c r="E5" s="64"/>
      <c r="F5" s="64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38" t="s">
        <v>13</v>
      </c>
      <c r="C7" s="38"/>
      <c r="D7" s="38"/>
      <c r="E7" s="38"/>
      <c r="F7" s="38"/>
      <c r="G7" s="1"/>
    </row>
    <row r="8" spans="1:7" ht="15" customHeight="1" x14ac:dyDescent="0.25">
      <c r="A8" s="1"/>
      <c r="B8" s="33" t="s">
        <v>94</v>
      </c>
      <c r="C8" s="33"/>
      <c r="D8" s="33"/>
      <c r="E8" s="7">
        <f>'Fane 2.3. Økonomisk ramme 2023'!E12</f>
        <v>3089214.0370904277</v>
      </c>
      <c r="F8" s="33" t="s">
        <v>3</v>
      </c>
      <c r="G8" s="1"/>
    </row>
    <row r="9" spans="1:7" ht="15" customHeight="1" x14ac:dyDescent="0.25">
      <c r="A9" s="1"/>
      <c r="B9" s="33" t="s">
        <v>82</v>
      </c>
      <c r="C9" s="33"/>
      <c r="D9" s="33"/>
      <c r="E9" s="7">
        <f>-('Fane 9. Bortfald'!C30+'Fane 9. Bortfald'!E30)</f>
        <v>0</v>
      </c>
      <c r="F9" s="33" t="s">
        <v>3</v>
      </c>
      <c r="G9" s="1"/>
    </row>
    <row r="10" spans="1:7" ht="15" customHeight="1" x14ac:dyDescent="0.25">
      <c r="A10" s="1"/>
      <c r="B10" s="34" t="s">
        <v>18</v>
      </c>
      <c r="C10" s="33"/>
      <c r="D10" s="33"/>
      <c r="E10" s="8">
        <f>SUM(E8:E9)*'Fane 10. Nøgletal'!C13</f>
        <v>37688.411252503218</v>
      </c>
      <c r="F10" s="33" t="s">
        <v>3</v>
      </c>
      <c r="G10" s="1"/>
    </row>
    <row r="11" spans="1:7" ht="15" customHeight="1" x14ac:dyDescent="0.25">
      <c r="A11" s="1"/>
      <c r="B11" s="34" t="s">
        <v>72</v>
      </c>
      <c r="C11" s="33"/>
      <c r="D11" s="33"/>
      <c r="E11" s="8">
        <f>-SUM(E8:E10)*'Fane 10. Nøgletal'!C18</f>
        <v>-53157.34162182983</v>
      </c>
      <c r="F11" s="33" t="s">
        <v>3</v>
      </c>
      <c r="G11" s="1"/>
    </row>
    <row r="12" spans="1:7" x14ac:dyDescent="0.25">
      <c r="A12" s="1"/>
      <c r="B12" s="37" t="s">
        <v>20</v>
      </c>
      <c r="C12" s="37"/>
      <c r="D12" s="37"/>
      <c r="E12" s="9">
        <f>SUM(E8:E11)</f>
        <v>3073745.1067211013</v>
      </c>
      <c r="F12" s="39" t="s">
        <v>3</v>
      </c>
      <c r="G12" s="1"/>
    </row>
    <row r="13" spans="1:7" x14ac:dyDescent="0.25">
      <c r="A13" s="1"/>
      <c r="B13" s="38" t="s">
        <v>12</v>
      </c>
      <c r="C13" s="38"/>
      <c r="D13" s="38"/>
      <c r="E13" s="38"/>
      <c r="F13" s="38"/>
      <c r="G13" s="1"/>
    </row>
    <row r="14" spans="1:7" ht="15" customHeight="1" x14ac:dyDescent="0.25">
      <c r="A14" s="1"/>
      <c r="B14" s="39" t="s">
        <v>12</v>
      </c>
      <c r="C14" s="39"/>
      <c r="D14" s="39"/>
      <c r="E14" s="9">
        <f>'Fane 4. Ikke-påvirkelige omk.'!C15*(1+'Fane 10. Nøgletal'!C13)^3</f>
        <v>1494960.6965971212</v>
      </c>
      <c r="F14" s="39" t="s">
        <v>3</v>
      </c>
      <c r="G14" s="1"/>
    </row>
    <row r="15" spans="1:7" ht="15" customHeight="1" x14ac:dyDescent="0.25">
      <c r="A15" s="1"/>
      <c r="B15" s="38" t="s">
        <v>52</v>
      </c>
      <c r="C15" s="38"/>
      <c r="D15" s="38"/>
      <c r="E15" s="38"/>
      <c r="F15" s="38"/>
      <c r="G15" s="1"/>
    </row>
    <row r="16" spans="1:7" ht="15" customHeight="1" x14ac:dyDescent="0.25">
      <c r="A16" s="1"/>
      <c r="B16" s="27" t="s">
        <v>49</v>
      </c>
      <c r="C16" s="33"/>
      <c r="D16" s="33"/>
      <c r="E16" s="8">
        <f>'Fane 7.2. Engangstillæg'!C34</f>
        <v>0</v>
      </c>
      <c r="F16" s="33" t="s">
        <v>3</v>
      </c>
      <c r="G16" s="1"/>
    </row>
    <row r="17" spans="1:7" ht="15" customHeight="1" x14ac:dyDescent="0.25">
      <c r="A17" s="1"/>
      <c r="B17" s="27" t="s">
        <v>50</v>
      </c>
      <c r="C17" s="33"/>
      <c r="D17" s="33"/>
      <c r="E17" s="8">
        <f>'Fane 7.2. Engangstillæg'!E34</f>
        <v>0</v>
      </c>
      <c r="F17" s="33" t="s">
        <v>3</v>
      </c>
      <c r="G17" s="1"/>
    </row>
    <row r="18" spans="1:7" ht="15" customHeight="1" x14ac:dyDescent="0.25">
      <c r="A18" s="1"/>
      <c r="B18" s="40" t="s">
        <v>53</v>
      </c>
      <c r="C18" s="37"/>
      <c r="D18" s="37"/>
      <c r="E18" s="9">
        <f>SUM(E16:E17)</f>
        <v>0</v>
      </c>
      <c r="F18" s="39" t="s">
        <v>3</v>
      </c>
      <c r="G18" s="1"/>
    </row>
    <row r="19" spans="1:7" ht="15" customHeight="1" x14ac:dyDescent="0.25">
      <c r="A19" s="1"/>
      <c r="B19" s="38" t="s">
        <v>95</v>
      </c>
      <c r="C19" s="38"/>
      <c r="D19" s="38"/>
      <c r="E19" s="10">
        <f>SUM(E12,E14,E18)</f>
        <v>4568705.803318223</v>
      </c>
      <c r="F19" s="11" t="s">
        <v>3</v>
      </c>
      <c r="G19" s="1"/>
    </row>
    <row r="20" spans="1:7" ht="15" customHeight="1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lLRv+vM1dFve/KNQqE+n3yoEmVaxvPZW/VQNWKa4MFQJLb2znpBOY5C1fs/eq9qZj2ExjfONEvJ0gqBbpIxDng==" saltValue="UlHr6QQF/3KSYqHp0aAyLA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5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39.85546875" style="2" customWidth="1"/>
    <col min="5" max="5" width="9.5703125" style="2" bestFit="1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9" t="s">
        <v>96</v>
      </c>
      <c r="C3" s="79"/>
      <c r="D3" s="79"/>
      <c r="E3" s="79"/>
      <c r="F3" s="79"/>
      <c r="G3" s="1"/>
    </row>
    <row r="4" spans="1:7" ht="29.25" customHeight="1" x14ac:dyDescent="0.25">
      <c r="A4" s="1"/>
      <c r="B4" s="79"/>
      <c r="C4" s="79"/>
      <c r="D4" s="79"/>
      <c r="E4" s="79"/>
      <c r="F4" s="7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97</v>
      </c>
      <c r="C8" s="38"/>
      <c r="D8" s="38"/>
      <c r="E8" s="38"/>
      <c r="F8" s="38"/>
      <c r="G8" s="1"/>
    </row>
    <row r="9" spans="1:7" x14ac:dyDescent="0.25">
      <c r="A9" s="1"/>
      <c r="B9" s="80" t="s">
        <v>24</v>
      </c>
      <c r="C9" s="80"/>
      <c r="D9" s="80"/>
      <c r="E9" s="7">
        <v>3086539.372498319</v>
      </c>
      <c r="F9" s="33" t="s">
        <v>3</v>
      </c>
      <c r="G9" s="1"/>
    </row>
    <row r="10" spans="1:7" x14ac:dyDescent="0.25">
      <c r="A10" s="1"/>
      <c r="B10" s="68" t="s">
        <v>149</v>
      </c>
      <c r="C10" s="68"/>
      <c r="D10" s="68"/>
      <c r="E10" s="7">
        <v>0</v>
      </c>
      <c r="F10" s="33" t="s">
        <v>3</v>
      </c>
      <c r="G10" s="1"/>
    </row>
    <row r="11" spans="1:7" x14ac:dyDescent="0.25">
      <c r="A11" s="1"/>
      <c r="B11" s="68" t="s">
        <v>150</v>
      </c>
      <c r="C11" s="68"/>
      <c r="D11" s="68"/>
      <c r="E11" s="7">
        <v>0</v>
      </c>
      <c r="F11" s="33" t="s">
        <v>3</v>
      </c>
      <c r="G11" s="1"/>
    </row>
    <row r="12" spans="1:7" x14ac:dyDescent="0.25">
      <c r="A12" s="1"/>
      <c r="B12" s="68" t="s">
        <v>80</v>
      </c>
      <c r="C12" s="68"/>
      <c r="D12" s="68"/>
      <c r="E12" s="7">
        <v>1927.2330000000002</v>
      </c>
      <c r="F12" s="33" t="s">
        <v>3</v>
      </c>
      <c r="G12" s="1"/>
    </row>
    <row r="13" spans="1:7" x14ac:dyDescent="0.25">
      <c r="A13" s="1"/>
      <c r="B13" s="68" t="s">
        <v>81</v>
      </c>
      <c r="C13" s="68"/>
      <c r="D13" s="68"/>
      <c r="E13" s="8">
        <v>0</v>
      </c>
      <c r="F13" s="33" t="s">
        <v>3</v>
      </c>
      <c r="G13" s="1"/>
    </row>
    <row r="14" spans="1:7" x14ac:dyDescent="0.25">
      <c r="A14" s="1"/>
      <c r="B14" s="68" t="s">
        <v>18</v>
      </c>
      <c r="C14" s="68"/>
      <c r="D14" s="68"/>
      <c r="E14" s="8">
        <f>(E9-SUM(E10:E11))*'Fane 10. Nøgletal'!C9+E10*'Fane 10. Nøgletal'!C10+E11*'Fane 10. Nøgletal'!C11+SUM(E12:E13)*'Fane 10. Nøgletal'!C12</f>
        <v>39237.016520828649</v>
      </c>
      <c r="F14" s="33" t="s">
        <v>3</v>
      </c>
      <c r="G14" s="1"/>
    </row>
    <row r="15" spans="1:7" x14ac:dyDescent="0.25">
      <c r="A15" s="1"/>
      <c r="B15" s="68" t="s">
        <v>72</v>
      </c>
      <c r="C15" s="68"/>
      <c r="D15" s="68"/>
      <c r="E15" s="8">
        <f>-SUM(E9:E9,E12:E14)*'Fane 10. Nøgletal'!C18</f>
        <v>-53170.961574325513</v>
      </c>
      <c r="F15" s="33" t="s">
        <v>3</v>
      </c>
      <c r="G15" s="1"/>
    </row>
    <row r="16" spans="1:7" x14ac:dyDescent="0.25">
      <c r="A16" s="1"/>
      <c r="B16" s="70" t="s">
        <v>20</v>
      </c>
      <c r="C16" s="70"/>
      <c r="D16" s="70"/>
      <c r="E16" s="9">
        <f>SUM(E9,E12:E15)</f>
        <v>3074532.6604448222</v>
      </c>
      <c r="F16" s="39" t="s">
        <v>3</v>
      </c>
      <c r="G16" s="1"/>
    </row>
    <row r="17" spans="1:7" x14ac:dyDescent="0.25">
      <c r="A17" s="1"/>
      <c r="B17" s="71" t="s">
        <v>12</v>
      </c>
      <c r="C17" s="71"/>
      <c r="D17" s="71"/>
      <c r="E17" s="38"/>
      <c r="F17" s="38"/>
      <c r="G17" s="1"/>
    </row>
    <row r="18" spans="1:7" x14ac:dyDescent="0.25">
      <c r="A18" s="1"/>
      <c r="B18" s="72" t="s">
        <v>12</v>
      </c>
      <c r="C18" s="72"/>
      <c r="D18" s="72"/>
      <c r="E18" s="9">
        <v>1687132.0805555701</v>
      </c>
      <c r="F18" s="39" t="s">
        <v>3</v>
      </c>
      <c r="G18" s="1"/>
    </row>
    <row r="19" spans="1:7" x14ac:dyDescent="0.25">
      <c r="A19" s="1"/>
      <c r="B19" s="38" t="s">
        <v>52</v>
      </c>
      <c r="C19" s="38"/>
      <c r="D19" s="38"/>
      <c r="E19" s="38"/>
      <c r="F19" s="38"/>
      <c r="G19" s="1"/>
    </row>
    <row r="20" spans="1:7" ht="15.4" customHeight="1" x14ac:dyDescent="0.25">
      <c r="A20" s="1"/>
      <c r="B20" s="73" t="s">
        <v>49</v>
      </c>
      <c r="C20" s="74"/>
      <c r="D20" s="75"/>
      <c r="E20" s="31">
        <v>0</v>
      </c>
      <c r="F20" s="31" t="s">
        <v>3</v>
      </c>
      <c r="G20" s="1"/>
    </row>
    <row r="21" spans="1:7" ht="15.75" customHeight="1" x14ac:dyDescent="0.25">
      <c r="A21" s="1"/>
      <c r="B21" s="73" t="s">
        <v>50</v>
      </c>
      <c r="C21" s="74"/>
      <c r="D21" s="75"/>
      <c r="E21" s="31">
        <v>0</v>
      </c>
      <c r="F21" s="31" t="s">
        <v>3</v>
      </c>
      <c r="G21" s="1"/>
    </row>
    <row r="22" spans="1:7" x14ac:dyDescent="0.25">
      <c r="A22" s="1"/>
      <c r="B22" s="76" t="s">
        <v>53</v>
      </c>
      <c r="C22" s="77"/>
      <c r="D22" s="78"/>
      <c r="E22" s="9">
        <v>0</v>
      </c>
      <c r="F22" s="9" t="s">
        <v>3</v>
      </c>
      <c r="G22" s="1"/>
    </row>
    <row r="23" spans="1:7" x14ac:dyDescent="0.25">
      <c r="A23" s="1"/>
      <c r="B23" s="38" t="s">
        <v>145</v>
      </c>
      <c r="C23" s="38"/>
      <c r="D23" s="38"/>
      <c r="E23" s="38"/>
      <c r="F23" s="38"/>
      <c r="G23" s="1"/>
    </row>
    <row r="24" spans="1:7" ht="15.75" customHeight="1" x14ac:dyDescent="0.25">
      <c r="A24" s="1"/>
      <c r="B24" s="65" t="s">
        <v>146</v>
      </c>
      <c r="C24" s="66"/>
      <c r="D24" s="67"/>
      <c r="E24" s="9">
        <v>-403485</v>
      </c>
      <c r="F24" s="9" t="s">
        <v>3</v>
      </c>
      <c r="G24" s="1"/>
    </row>
    <row r="25" spans="1:7" x14ac:dyDescent="0.25">
      <c r="A25" s="1"/>
      <c r="B25" s="38" t="s">
        <v>147</v>
      </c>
      <c r="C25" s="38"/>
      <c r="D25" s="38"/>
      <c r="E25" s="38"/>
      <c r="F25" s="38"/>
      <c r="G25" s="1"/>
    </row>
    <row r="26" spans="1:7" ht="15.4" customHeight="1" x14ac:dyDescent="0.25">
      <c r="A26" s="1"/>
      <c r="B26" s="65" t="s">
        <v>148</v>
      </c>
      <c r="C26" s="66"/>
      <c r="D26" s="67"/>
      <c r="E26" s="9">
        <v>0</v>
      </c>
      <c r="F26" s="39" t="s">
        <v>3</v>
      </c>
      <c r="G26" s="1"/>
    </row>
    <row r="27" spans="1:7" x14ac:dyDescent="0.25">
      <c r="A27" s="1"/>
      <c r="B27" s="38" t="s">
        <v>25</v>
      </c>
      <c r="C27" s="38"/>
      <c r="D27" s="38"/>
      <c r="E27" s="10">
        <f>E16+E18+E22+E24+E26</f>
        <v>4358179.7410003925</v>
      </c>
      <c r="F27" s="11" t="s">
        <v>3</v>
      </c>
      <c r="G27" s="1"/>
    </row>
    <row r="28" spans="1:7" ht="28.5" customHeight="1" x14ac:dyDescent="0.25">
      <c r="A28" s="1"/>
      <c r="B28" s="69" t="s">
        <v>98</v>
      </c>
      <c r="C28" s="69"/>
      <c r="D28" s="69"/>
      <c r="E28" s="69"/>
      <c r="F28" s="69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  <row r="51" spans="1:7" x14ac:dyDescent="0.25">
      <c r="A51" s="1"/>
      <c r="B51" s="1"/>
      <c r="C51" s="1"/>
      <c r="D51" s="1"/>
      <c r="E51" s="1"/>
      <c r="F51" s="1"/>
      <c r="G51" s="1"/>
    </row>
    <row r="52" spans="1:7" x14ac:dyDescent="0.25">
      <c r="A52" s="1"/>
      <c r="B52" s="1"/>
      <c r="C52" s="1"/>
      <c r="D52" s="1"/>
      <c r="E52" s="1"/>
      <c r="F52" s="1"/>
      <c r="G52" s="1"/>
    </row>
    <row r="53" spans="1:7" x14ac:dyDescent="0.25">
      <c r="A53" s="1"/>
      <c r="B53" s="1"/>
      <c r="C53" s="1"/>
      <c r="D53" s="1"/>
      <c r="E53" s="1"/>
      <c r="F53" s="1"/>
      <c r="G53" s="1"/>
    </row>
    <row r="54" spans="1:7" x14ac:dyDescent="0.25">
      <c r="A54" s="1"/>
      <c r="B54" s="1"/>
      <c r="C54" s="1"/>
      <c r="D54" s="1"/>
      <c r="E54" s="1"/>
      <c r="F54" s="1"/>
      <c r="G54" s="1"/>
    </row>
    <row r="55" spans="1:7" x14ac:dyDescent="0.25">
      <c r="A55" s="1"/>
      <c r="B55" s="1"/>
      <c r="C55" s="1"/>
      <c r="D55" s="1"/>
      <c r="E55" s="1"/>
      <c r="F55" s="1"/>
      <c r="G55" s="1"/>
    </row>
  </sheetData>
  <sheetProtection algorithmName="SHA-512" hashValue="M9sd7b3RT9/7mR6vlnz+FeBZHbIEYMwi8ZuSJMJ7n5eFClxSWY2mMrwEdpuluVXKgvIgBx/+RlOV1JwMTnZh4g==" saltValue="u36QY2n0dmXfSdhUAQ9Vsw==" spinCount="100000" sheet="1" objects="1" scenarios="1"/>
  <mergeCells count="17">
    <mergeCell ref="B3:F4"/>
    <mergeCell ref="B9:D9"/>
    <mergeCell ref="B12:D12"/>
    <mergeCell ref="B13:D13"/>
    <mergeCell ref="B14:D14"/>
    <mergeCell ref="B24:D24"/>
    <mergeCell ref="B10:D10"/>
    <mergeCell ref="B11:D11"/>
    <mergeCell ref="B28:F28"/>
    <mergeCell ref="B26:D26"/>
    <mergeCell ref="B15:D15"/>
    <mergeCell ref="B16:D16"/>
    <mergeCell ref="B17:D17"/>
    <mergeCell ref="B18:D18"/>
    <mergeCell ref="B20:D20"/>
    <mergeCell ref="B21:D21"/>
    <mergeCell ref="B22:D22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1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63" t="s">
        <v>69</v>
      </c>
      <c r="C3" s="63"/>
      <c r="D3" s="63"/>
      <c r="E3" s="1"/>
      <c r="F3" s="1"/>
    </row>
    <row r="4" spans="1:6" ht="15" customHeight="1" x14ac:dyDescent="0.25">
      <c r="A4" s="1"/>
      <c r="B4" s="63"/>
      <c r="C4" s="63"/>
      <c r="D4" s="63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81" t="s">
        <v>99</v>
      </c>
      <c r="C8" s="82"/>
      <c r="D8" s="83"/>
      <c r="E8" s="1"/>
      <c r="F8" s="1"/>
    </row>
    <row r="9" spans="1:6" ht="15" customHeight="1" x14ac:dyDescent="0.25">
      <c r="A9" s="1"/>
      <c r="B9" s="17" t="s">
        <v>32</v>
      </c>
      <c r="C9" s="39" t="s">
        <v>100</v>
      </c>
      <c r="D9" s="39"/>
      <c r="E9" s="1"/>
      <c r="F9" s="1"/>
    </row>
    <row r="10" spans="1:6" ht="15" customHeight="1" x14ac:dyDescent="0.25">
      <c r="A10" s="1"/>
      <c r="B10" s="26" t="s">
        <v>153</v>
      </c>
      <c r="C10" s="8">
        <v>1363631</v>
      </c>
      <c r="D10" s="12" t="s">
        <v>3</v>
      </c>
      <c r="E10" s="1"/>
      <c r="F10" s="1"/>
    </row>
    <row r="11" spans="1:6" x14ac:dyDescent="0.25">
      <c r="A11" s="1"/>
      <c r="B11" s="26" t="s">
        <v>154</v>
      </c>
      <c r="C11" s="8">
        <v>13854</v>
      </c>
      <c r="D11" s="12" t="s">
        <v>3</v>
      </c>
      <c r="E11" s="1"/>
      <c r="F11" s="1"/>
    </row>
    <row r="12" spans="1:6" x14ac:dyDescent="0.25">
      <c r="A12" s="1"/>
      <c r="B12" s="26" t="s">
        <v>155</v>
      </c>
      <c r="C12" s="8">
        <v>15790</v>
      </c>
      <c r="D12" s="12" t="s">
        <v>3</v>
      </c>
      <c r="E12" s="1"/>
      <c r="F12" s="1"/>
    </row>
    <row r="13" spans="1:6" x14ac:dyDescent="0.25">
      <c r="A13" s="1"/>
      <c r="B13" s="26" t="s">
        <v>156</v>
      </c>
      <c r="C13" s="8">
        <v>13738</v>
      </c>
      <c r="D13" s="12" t="s">
        <v>3</v>
      </c>
      <c r="E13" s="1"/>
      <c r="F13" s="1"/>
    </row>
    <row r="14" spans="1:6" x14ac:dyDescent="0.25">
      <c r="A14" s="1"/>
      <c r="B14" s="43" t="s">
        <v>101</v>
      </c>
      <c r="C14" s="10">
        <f>SUM(C10:C13)</f>
        <v>1407013</v>
      </c>
      <c r="D14" s="11" t="s">
        <v>3</v>
      </c>
      <c r="E14" s="1"/>
      <c r="F14" s="1"/>
    </row>
    <row r="15" spans="1:6" x14ac:dyDescent="0.25">
      <c r="A15" s="1"/>
      <c r="B15" s="43" t="s">
        <v>102</v>
      </c>
      <c r="C15" s="10">
        <f>C14*(1+'Fane 10. Nøgletal'!C13)^2</f>
        <v>1441553.53701492</v>
      </c>
      <c r="D15" s="11" t="s">
        <v>3</v>
      </c>
      <c r="E15" s="1"/>
      <c r="F15" s="1"/>
    </row>
    <row r="16" spans="1:6" x14ac:dyDescent="0.25">
      <c r="A16" s="1"/>
      <c r="B16" s="14"/>
      <c r="C16" s="13"/>
      <c r="D16" s="13"/>
      <c r="E16" s="1"/>
      <c r="F16" s="1"/>
    </row>
    <row r="17" spans="1:6" x14ac:dyDescent="0.25">
      <c r="A17" s="1"/>
      <c r="B17" s="14"/>
      <c r="C17" s="13"/>
      <c r="D17" s="13"/>
      <c r="E17" s="1"/>
      <c r="F17" s="1"/>
    </row>
    <row r="18" spans="1:6" x14ac:dyDescent="0.25">
      <c r="A18" s="1"/>
      <c r="B18" s="1"/>
      <c r="C18" s="1"/>
      <c r="D18" s="1"/>
      <c r="E18" s="1"/>
      <c r="F18" s="1"/>
    </row>
    <row r="19" spans="1:6" x14ac:dyDescent="0.25">
      <c r="A19" s="1"/>
      <c r="B19" s="1"/>
      <c r="C19" s="1"/>
      <c r="D19" s="1"/>
      <c r="E19" s="1"/>
      <c r="F19" s="1"/>
    </row>
    <row r="20" spans="1:6" x14ac:dyDescent="0.25">
      <c r="A20" s="1"/>
      <c r="B20" s="1"/>
      <c r="C20" s="1"/>
      <c r="D20" s="1"/>
      <c r="E20" s="1"/>
      <c r="F20" s="1"/>
    </row>
    <row r="21" spans="1:6" x14ac:dyDescent="0.25">
      <c r="A21" s="1"/>
      <c r="B21" s="1"/>
      <c r="C21" s="1"/>
      <c r="D21" s="1"/>
      <c r="E21" s="1"/>
      <c r="F21" s="1"/>
    </row>
    <row r="22" spans="1:6" x14ac:dyDescent="0.25">
      <c r="A22" s="1"/>
      <c r="B22" s="1"/>
      <c r="C22" s="1"/>
      <c r="D22" s="1"/>
      <c r="E22" s="1"/>
      <c r="F22" s="1"/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1"/>
      <c r="C27" s="1"/>
      <c r="D27" s="1"/>
      <c r="E27" s="1"/>
      <c r="F27" s="1"/>
    </row>
    <row r="28" spans="1:6" x14ac:dyDescent="0.25">
      <c r="A28" s="1"/>
      <c r="B28" s="1"/>
      <c r="C28" s="1"/>
      <c r="D28" s="1"/>
      <c r="E28" s="1"/>
      <c r="F28" s="1"/>
    </row>
    <row r="29" spans="1:6" x14ac:dyDescent="0.25">
      <c r="A29" s="1"/>
      <c r="B29" s="1"/>
      <c r="C29" s="1"/>
      <c r="D29" s="1"/>
      <c r="E29" s="1"/>
      <c r="F29" s="1"/>
    </row>
    <row r="30" spans="1:6" x14ac:dyDescent="0.25">
      <c r="A30" s="1"/>
      <c r="B30" s="1"/>
      <c r="C30" s="1"/>
      <c r="D30" s="1"/>
      <c r="E30" s="1"/>
      <c r="F30" s="1"/>
    </row>
    <row r="31" spans="1:6" x14ac:dyDescent="0.25">
      <c r="A31" s="1"/>
      <c r="B31" s="1"/>
      <c r="C31" s="1"/>
      <c r="D31" s="1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  <row r="51" spans="1:6" x14ac:dyDescent="0.25">
      <c r="A51" s="1"/>
      <c r="B51" s="1"/>
      <c r="C51" s="1"/>
      <c r="D51" s="1"/>
      <c r="E51" s="1"/>
      <c r="F51" s="1"/>
    </row>
  </sheetData>
  <sheetProtection algorithmName="SHA-512" hashValue="EGDmHWumZYIaLpNZVImiW578EB38pF03CqMHcebjbC7u5t8ti4d3wD8V0H3xSjgfuApxOplZ2Ta8G8ENw2mwfg==" saltValue="7VuPiYVHxPqaVCV1feNayw==" spinCount="100000" sheet="1" objects="1" scenarios="1"/>
  <mergeCells count="2">
    <mergeCell ref="B3:D4"/>
    <mergeCell ref="B8:D8"/>
  </mergeCells>
  <pageMargins left="0.75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G55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2851562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79" t="s">
        <v>116</v>
      </c>
      <c r="C3" s="79"/>
      <c r="D3" s="79"/>
      <c r="E3" s="79"/>
      <c r="F3" s="79"/>
      <c r="G3" s="1"/>
    </row>
    <row r="4" spans="1:7" ht="15" customHeight="1" x14ac:dyDescent="0.25">
      <c r="A4" s="1"/>
      <c r="B4" s="79"/>
      <c r="C4" s="79"/>
      <c r="D4" s="79"/>
      <c r="E4" s="79"/>
      <c r="F4" s="79"/>
      <c r="G4" s="1"/>
    </row>
    <row r="5" spans="1:7" ht="15" customHeight="1" x14ac:dyDescent="0.25">
      <c r="A5" s="1"/>
      <c r="B5" s="32"/>
      <c r="C5" s="32"/>
      <c r="D5" s="32"/>
      <c r="E5" s="32"/>
      <c r="F5" s="32"/>
      <c r="G5" s="1"/>
    </row>
    <row r="6" spans="1:7" ht="15" customHeight="1" x14ac:dyDescent="0.25">
      <c r="A6" s="1"/>
      <c r="B6" s="84" t="s">
        <v>36</v>
      </c>
      <c r="C6" s="84"/>
      <c r="D6" s="84"/>
      <c r="E6" s="84"/>
      <c r="F6" s="84"/>
      <c r="G6" s="1"/>
    </row>
    <row r="7" spans="1:7" ht="15" customHeight="1" x14ac:dyDescent="0.25">
      <c r="A7" s="1"/>
      <c r="B7" s="85" t="s">
        <v>34</v>
      </c>
      <c r="C7" s="85"/>
      <c r="D7" s="85"/>
      <c r="E7" s="8">
        <v>-64526.446666666656</v>
      </c>
      <c r="F7" s="12" t="s">
        <v>3</v>
      </c>
      <c r="G7" s="1"/>
    </row>
    <row r="8" spans="1:7" ht="15" customHeight="1" x14ac:dyDescent="0.25">
      <c r="A8" s="1"/>
      <c r="B8" s="85" t="s">
        <v>35</v>
      </c>
      <c r="C8" s="85"/>
      <c r="D8" s="85"/>
      <c r="E8" s="8">
        <v>813482.88652804494</v>
      </c>
      <c r="F8" s="12" t="s">
        <v>3</v>
      </c>
      <c r="G8" s="1"/>
    </row>
    <row r="9" spans="1:7" ht="15" customHeight="1" x14ac:dyDescent="0.25">
      <c r="A9" s="1"/>
      <c r="B9" s="76" t="s">
        <v>76</v>
      </c>
      <c r="C9" s="77"/>
      <c r="D9" s="78"/>
      <c r="E9" s="9">
        <f>SUM(E7:E8)</f>
        <v>748956.43986137828</v>
      </c>
      <c r="F9" s="15" t="s">
        <v>3</v>
      </c>
      <c r="G9" s="1"/>
    </row>
    <row r="10" spans="1:7" ht="15" customHeight="1" x14ac:dyDescent="0.25">
      <c r="A10" s="1"/>
      <c r="B10" s="81"/>
      <c r="C10" s="82"/>
      <c r="D10" s="82"/>
      <c r="E10" s="82"/>
      <c r="F10" s="83"/>
      <c r="G10" s="1"/>
    </row>
    <row r="11" spans="1:7" ht="27" customHeight="1" x14ac:dyDescent="0.25">
      <c r="A11" s="1"/>
      <c r="B11" s="69" t="s">
        <v>71</v>
      </c>
      <c r="C11" s="69"/>
      <c r="D11" s="69"/>
      <c r="E11" s="69"/>
      <c r="F11" s="69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84" t="s">
        <v>62</v>
      </c>
      <c r="C14" s="84"/>
      <c r="D14" s="84"/>
      <c r="E14" s="84"/>
      <c r="F14" s="84"/>
      <c r="G14" s="1"/>
    </row>
    <row r="15" spans="1:7" x14ac:dyDescent="0.25">
      <c r="A15" s="1"/>
      <c r="B15" s="85" t="s">
        <v>63</v>
      </c>
      <c r="C15" s="85"/>
      <c r="D15" s="85"/>
      <c r="E15" s="8">
        <v>3503195.4547888972</v>
      </c>
      <c r="F15" s="12" t="s">
        <v>3</v>
      </c>
      <c r="G15" s="1"/>
    </row>
    <row r="16" spans="1:7" x14ac:dyDescent="0.25">
      <c r="A16" s="1"/>
      <c r="B16" s="85" t="s">
        <v>64</v>
      </c>
      <c r="C16" s="85"/>
      <c r="D16" s="85"/>
      <c r="E16" s="8">
        <v>3572844</v>
      </c>
      <c r="F16" s="12" t="s">
        <v>3</v>
      </c>
      <c r="G16" s="1"/>
    </row>
    <row r="17" spans="1:7" x14ac:dyDescent="0.25">
      <c r="A17" s="1"/>
      <c r="B17" s="85" t="s">
        <v>33</v>
      </c>
      <c r="C17" s="85"/>
      <c r="D17" s="85"/>
      <c r="E17" s="8">
        <v>0</v>
      </c>
      <c r="F17" s="12" t="s">
        <v>3</v>
      </c>
      <c r="G17" s="1"/>
    </row>
    <row r="18" spans="1:7" x14ac:dyDescent="0.25">
      <c r="A18" s="1"/>
      <c r="B18" s="86" t="s">
        <v>136</v>
      </c>
      <c r="C18" s="86"/>
      <c r="D18" s="86"/>
      <c r="E18" s="9">
        <f>E15-(E16-E17)</f>
        <v>-69648.545211102813</v>
      </c>
      <c r="F18" s="15" t="s">
        <v>3</v>
      </c>
      <c r="G18" s="1"/>
    </row>
    <row r="19" spans="1:7" x14ac:dyDescent="0.25">
      <c r="A19" s="1"/>
      <c r="B19" s="87"/>
      <c r="C19" s="88"/>
      <c r="D19" s="88"/>
      <c r="E19" s="88"/>
      <c r="F19" s="89"/>
      <c r="G19" s="1"/>
    </row>
    <row r="20" spans="1:7" ht="28.5" customHeight="1" x14ac:dyDescent="0.25">
      <c r="A20" s="1"/>
      <c r="B20" s="69" t="s">
        <v>70</v>
      </c>
      <c r="C20" s="69"/>
      <c r="D20" s="69"/>
      <c r="E20" s="69"/>
      <c r="F20" s="69"/>
      <c r="G20" s="1"/>
    </row>
    <row r="21" spans="1:7" ht="28.5" customHeight="1" x14ac:dyDescent="0.25">
      <c r="A21" s="1"/>
      <c r="B21" s="1"/>
      <c r="C21" s="1"/>
      <c r="D21" s="1"/>
      <c r="E21" s="1"/>
      <c r="F21" s="1"/>
      <c r="G21" s="1"/>
    </row>
    <row r="22" spans="1:7" ht="15" customHeight="1" x14ac:dyDescent="0.25">
      <c r="A22" s="1"/>
      <c r="B22" s="84" t="s">
        <v>44</v>
      </c>
      <c r="C22" s="84"/>
      <c r="D22" s="84"/>
      <c r="E22" s="84"/>
      <c r="F22" s="84"/>
      <c r="G22" s="1"/>
    </row>
    <row r="23" spans="1:7" ht="15" customHeight="1" x14ac:dyDescent="0.25">
      <c r="A23" s="1"/>
      <c r="B23" s="85" t="s">
        <v>45</v>
      </c>
      <c r="C23" s="85"/>
      <c r="D23" s="85"/>
      <c r="E23" s="8">
        <v>4287011.3497744342</v>
      </c>
      <c r="F23" s="12" t="s">
        <v>3</v>
      </c>
      <c r="G23" s="1"/>
    </row>
    <row r="24" spans="1:7" ht="15" customHeight="1" x14ac:dyDescent="0.25">
      <c r="A24" s="1"/>
      <c r="B24" s="85" t="s">
        <v>46</v>
      </c>
      <c r="C24" s="85"/>
      <c r="D24" s="85"/>
      <c r="E24" s="8">
        <v>3872038</v>
      </c>
      <c r="F24" s="12" t="s">
        <v>3</v>
      </c>
      <c r="G24" s="1"/>
    </row>
    <row r="25" spans="1:7" ht="15" customHeight="1" x14ac:dyDescent="0.25">
      <c r="A25" s="1"/>
      <c r="B25" s="85" t="s">
        <v>33</v>
      </c>
      <c r="C25" s="85"/>
      <c r="D25" s="85"/>
      <c r="E25" s="8">
        <v>0</v>
      </c>
      <c r="F25" s="12" t="s">
        <v>3</v>
      </c>
      <c r="G25" s="1"/>
    </row>
    <row r="26" spans="1:7" x14ac:dyDescent="0.25">
      <c r="A26" s="1"/>
      <c r="B26" s="86" t="s">
        <v>137</v>
      </c>
      <c r="C26" s="86"/>
      <c r="D26" s="86"/>
      <c r="E26" s="9">
        <f>E23-(E24-E25)</f>
        <v>414973.34977443423</v>
      </c>
      <c r="F26" s="15" t="s">
        <v>3</v>
      </c>
      <c r="G26" s="1"/>
    </row>
    <row r="27" spans="1:7" x14ac:dyDescent="0.25">
      <c r="A27" s="1"/>
      <c r="B27" s="81"/>
      <c r="C27" s="82"/>
      <c r="D27" s="82"/>
      <c r="E27" s="82"/>
      <c r="F27" s="83"/>
      <c r="G27" s="1"/>
    </row>
    <row r="28" spans="1:7" ht="28.5" customHeight="1" x14ac:dyDescent="0.25">
      <c r="A28" s="1"/>
      <c r="B28" s="69" t="s">
        <v>126</v>
      </c>
      <c r="C28" s="69"/>
      <c r="D28" s="69"/>
      <c r="E28" s="69"/>
      <c r="F28" s="69"/>
      <c r="G28" s="1"/>
    </row>
    <row r="29" spans="1:7" ht="28.5" customHeight="1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84" t="s">
        <v>127</v>
      </c>
      <c r="C30" s="84"/>
      <c r="D30" s="84"/>
      <c r="E30" s="84"/>
      <c r="F30" s="84"/>
      <c r="G30" s="1"/>
    </row>
    <row r="31" spans="1:7" x14ac:dyDescent="0.25">
      <c r="A31" s="1"/>
      <c r="B31" s="85" t="s">
        <v>128</v>
      </c>
      <c r="C31" s="85"/>
      <c r="D31" s="85"/>
      <c r="E31" s="8">
        <v>4169807.361072856</v>
      </c>
      <c r="F31" s="12" t="s">
        <v>3</v>
      </c>
      <c r="G31" s="1"/>
    </row>
    <row r="32" spans="1:7" x14ac:dyDescent="0.25">
      <c r="A32" s="1"/>
      <c r="B32" s="85" t="s">
        <v>129</v>
      </c>
      <c r="C32" s="85"/>
      <c r="D32" s="85"/>
      <c r="E32" s="8">
        <v>3876817</v>
      </c>
      <c r="F32" s="12" t="s">
        <v>3</v>
      </c>
      <c r="G32" s="1"/>
    </row>
    <row r="33" spans="1:7" x14ac:dyDescent="0.25">
      <c r="A33" s="1"/>
      <c r="B33" s="85" t="s">
        <v>33</v>
      </c>
      <c r="C33" s="85"/>
      <c r="D33" s="85"/>
      <c r="E33" s="8">
        <v>0</v>
      </c>
      <c r="F33" s="12" t="s">
        <v>3</v>
      </c>
      <c r="G33" s="1"/>
    </row>
    <row r="34" spans="1:7" x14ac:dyDescent="0.25">
      <c r="A34" s="1"/>
      <c r="B34" s="86" t="s">
        <v>138</v>
      </c>
      <c r="C34" s="86"/>
      <c r="D34" s="86"/>
      <c r="E34" s="9">
        <f>E31-(E32-E33)</f>
        <v>292990.361072856</v>
      </c>
      <c r="F34" s="15" t="s">
        <v>3</v>
      </c>
      <c r="G34" s="1"/>
    </row>
    <row r="35" spans="1:7" x14ac:dyDescent="0.25">
      <c r="A35" s="1"/>
      <c r="B35" s="81"/>
      <c r="C35" s="82"/>
      <c r="D35" s="82"/>
      <c r="E35" s="82"/>
      <c r="F35" s="83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84" t="s">
        <v>130</v>
      </c>
      <c r="C38" s="84"/>
      <c r="D38" s="84"/>
      <c r="E38" s="84"/>
      <c r="F38" s="84"/>
      <c r="G38" s="1"/>
    </row>
    <row r="39" spans="1:7" x14ac:dyDescent="0.25">
      <c r="A39" s="1"/>
      <c r="B39" s="90" t="s">
        <v>36</v>
      </c>
      <c r="C39" s="90"/>
      <c r="D39" s="90"/>
      <c r="E39" s="8">
        <f>E9</f>
        <v>748956.43986137828</v>
      </c>
      <c r="F39" s="12" t="s">
        <v>3</v>
      </c>
      <c r="G39" s="1"/>
    </row>
    <row r="40" spans="1:7" x14ac:dyDescent="0.25">
      <c r="A40" s="1"/>
      <c r="B40" s="90" t="s">
        <v>135</v>
      </c>
      <c r="C40" s="90"/>
      <c r="D40" s="90"/>
      <c r="E40" s="8">
        <f>IF(E18+E26+E34&lt;0,E18+E26+E34,0)</f>
        <v>0</v>
      </c>
      <c r="F40" s="12" t="s">
        <v>3</v>
      </c>
      <c r="G40" s="1"/>
    </row>
    <row r="41" spans="1:7" x14ac:dyDescent="0.25">
      <c r="A41" s="1"/>
      <c r="B41" s="90" t="s">
        <v>73</v>
      </c>
      <c r="C41" s="90"/>
      <c r="D41" s="90"/>
      <c r="E41" s="8">
        <v>2</v>
      </c>
      <c r="F41" s="12" t="s">
        <v>19</v>
      </c>
      <c r="G41" s="1"/>
    </row>
    <row r="42" spans="1:7" x14ac:dyDescent="0.25">
      <c r="A42" s="1"/>
      <c r="B42" s="86" t="s">
        <v>133</v>
      </c>
      <c r="C42" s="86"/>
      <c r="D42" s="86"/>
      <c r="E42" s="9">
        <f>SUM(E39)/E41</f>
        <v>374478.21993068914</v>
      </c>
      <c r="F42" s="15" t="s">
        <v>3</v>
      </c>
      <c r="G42" s="1"/>
    </row>
    <row r="43" spans="1:7" x14ac:dyDescent="0.25">
      <c r="A43" s="1"/>
      <c r="B43" s="86" t="s">
        <v>134</v>
      </c>
      <c r="C43" s="86"/>
      <c r="D43" s="86"/>
      <c r="E43" s="9">
        <f>E40/E41</f>
        <v>0</v>
      </c>
      <c r="F43" s="15" t="s">
        <v>3</v>
      </c>
      <c r="G43" s="1"/>
    </row>
    <row r="44" spans="1:7" x14ac:dyDescent="0.25">
      <c r="A44" s="1"/>
      <c r="B44" s="84"/>
      <c r="C44" s="84"/>
      <c r="D44" s="84"/>
      <c r="E44" s="84"/>
      <c r="F44" s="84"/>
      <c r="G44" s="1"/>
    </row>
    <row r="46" spans="1:7" x14ac:dyDescent="0.25">
      <c r="A46" s="30"/>
      <c r="B46" s="30"/>
      <c r="C46" s="30"/>
      <c r="D46" s="30"/>
      <c r="E46" s="30"/>
      <c r="F46" s="30"/>
      <c r="G46" s="30"/>
    </row>
    <row r="47" spans="1:7" x14ac:dyDescent="0.25">
      <c r="A47" s="30"/>
      <c r="B47" s="30"/>
      <c r="C47" s="30"/>
      <c r="D47" s="30"/>
      <c r="E47" s="30"/>
      <c r="F47" s="30"/>
      <c r="G47" s="30"/>
    </row>
    <row r="48" spans="1:7" x14ac:dyDescent="0.25">
      <c r="A48" s="30"/>
      <c r="B48" s="30"/>
      <c r="C48" s="30"/>
      <c r="D48" s="30"/>
      <c r="E48" s="30"/>
      <c r="F48" s="30"/>
      <c r="G48" s="30"/>
    </row>
    <row r="49" spans="1:7" x14ac:dyDescent="0.25">
      <c r="A49" s="30"/>
      <c r="B49" s="30"/>
      <c r="C49" s="30"/>
      <c r="D49" s="30"/>
      <c r="E49" s="30"/>
      <c r="F49" s="30"/>
      <c r="G49" s="30"/>
    </row>
    <row r="50" spans="1:7" x14ac:dyDescent="0.25">
      <c r="A50" s="30"/>
      <c r="B50" s="30"/>
      <c r="C50" s="30"/>
      <c r="D50" s="30"/>
      <c r="E50" s="30"/>
      <c r="F50" s="30"/>
      <c r="G50" s="30"/>
    </row>
    <row r="51" spans="1:7" x14ac:dyDescent="0.25">
      <c r="A51" s="30"/>
      <c r="B51" s="30"/>
      <c r="C51" s="30"/>
      <c r="D51" s="30"/>
      <c r="E51" s="30"/>
      <c r="F51" s="30"/>
      <c r="G51" s="30"/>
    </row>
    <row r="52" spans="1:7" x14ac:dyDescent="0.25">
      <c r="A52" s="30"/>
      <c r="B52" s="30"/>
      <c r="C52" s="30"/>
      <c r="D52" s="30"/>
      <c r="E52" s="30"/>
      <c r="F52" s="30"/>
      <c r="G52" s="30"/>
    </row>
    <row r="53" spans="1:7" x14ac:dyDescent="0.25">
      <c r="A53" s="30"/>
      <c r="B53" s="30"/>
      <c r="C53" s="30"/>
      <c r="D53" s="30"/>
      <c r="E53" s="30"/>
      <c r="F53" s="30"/>
      <c r="G53" s="30"/>
    </row>
    <row r="54" spans="1:7" x14ac:dyDescent="0.25">
      <c r="A54" s="30"/>
      <c r="B54" s="30"/>
      <c r="C54" s="30"/>
      <c r="D54" s="30"/>
      <c r="E54" s="30"/>
      <c r="F54" s="30"/>
      <c r="G54" s="30"/>
    </row>
    <row r="55" spans="1:7" x14ac:dyDescent="0.25">
      <c r="A55" s="30"/>
      <c r="B55" s="30"/>
      <c r="C55" s="30"/>
      <c r="D55" s="30"/>
      <c r="E55" s="30"/>
      <c r="F55" s="30"/>
      <c r="G55" s="30"/>
    </row>
  </sheetData>
  <sheetProtection algorithmName="SHA-512" hashValue="PYN3s7BgvgXdoh5fD5/0a9t+5bWNUNKQ3vG53pgG081c8EgJJ4H/F+JiR7mpFs+bkvCjNRf2M+tlSeUcV9xyIw==" saltValue="cR1JjGjhJi0TFSr+BPy41Q==" spinCount="100000" sheet="1" objects="1" scenarios="1"/>
  <mergeCells count="34">
    <mergeCell ref="B44:F44"/>
    <mergeCell ref="B43:D43"/>
    <mergeCell ref="B38:F38"/>
    <mergeCell ref="B40:D40"/>
    <mergeCell ref="B41:D41"/>
    <mergeCell ref="B42:D42"/>
    <mergeCell ref="B39:D39"/>
    <mergeCell ref="B9:D9"/>
    <mergeCell ref="B34:D34"/>
    <mergeCell ref="B35:F35"/>
    <mergeCell ref="B10:F10"/>
    <mergeCell ref="B19:F19"/>
    <mergeCell ref="B22:F22"/>
    <mergeCell ref="B23:D23"/>
    <mergeCell ref="B24:D24"/>
    <mergeCell ref="B32:D32"/>
    <mergeCell ref="B33:D33"/>
    <mergeCell ref="B25:D25"/>
    <mergeCell ref="B3:F4"/>
    <mergeCell ref="B30:F30"/>
    <mergeCell ref="B31:D31"/>
    <mergeCell ref="B11:F11"/>
    <mergeCell ref="B6:F6"/>
    <mergeCell ref="B7:D7"/>
    <mergeCell ref="B27:F27"/>
    <mergeCell ref="B28:F28"/>
    <mergeCell ref="B14:F14"/>
    <mergeCell ref="B15:D15"/>
    <mergeCell ref="B16:D16"/>
    <mergeCell ref="B20:F20"/>
    <mergeCell ref="B17:D17"/>
    <mergeCell ref="B18:D18"/>
    <mergeCell ref="B8:D8"/>
    <mergeCell ref="B26:D26"/>
  </mergeCells>
  <pageMargins left="0.79166666666666663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3" t="s">
        <v>139</v>
      </c>
      <c r="C3" s="63"/>
      <c r="D3" s="63"/>
      <c r="E3" s="63"/>
      <c r="F3" s="63"/>
      <c r="G3" s="63"/>
      <c r="H3" s="63"/>
      <c r="I3" s="1"/>
    </row>
    <row r="4" spans="1:9" ht="15" customHeight="1" x14ac:dyDescent="0.25">
      <c r="A4" s="1"/>
      <c r="B4" s="63"/>
      <c r="C4" s="63"/>
      <c r="D4" s="63"/>
      <c r="E4" s="63"/>
      <c r="F4" s="63"/>
      <c r="G4" s="63"/>
      <c r="H4" s="63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1" t="s">
        <v>117</v>
      </c>
      <c r="C8" s="82"/>
      <c r="D8" s="82"/>
      <c r="E8" s="82"/>
      <c r="F8" s="82"/>
      <c r="G8" s="82"/>
      <c r="H8" s="83"/>
      <c r="I8" s="1"/>
    </row>
    <row r="9" spans="1:9" ht="39.75" customHeight="1" x14ac:dyDescent="0.25">
      <c r="A9" s="1"/>
      <c r="B9" s="16" t="s">
        <v>0</v>
      </c>
      <c r="C9" s="16" t="s">
        <v>1</v>
      </c>
      <c r="D9" s="16" t="s">
        <v>10</v>
      </c>
      <c r="E9" s="39" t="s">
        <v>2</v>
      </c>
      <c r="F9" s="39" t="s">
        <v>11</v>
      </c>
      <c r="G9" s="39" t="s">
        <v>30</v>
      </c>
      <c r="H9" s="42"/>
      <c r="I9" s="1"/>
    </row>
    <row r="10" spans="1:9" x14ac:dyDescent="0.25">
      <c r="A10" s="1"/>
      <c r="B10" s="45" t="s">
        <v>157</v>
      </c>
      <c r="C10" s="46"/>
      <c r="D10" s="8"/>
      <c r="E10" s="8">
        <f>IFERROR(D10/C10,0)</f>
        <v>0</v>
      </c>
      <c r="F10" s="8"/>
      <c r="G10" s="8"/>
      <c r="H10" s="12" t="s">
        <v>3</v>
      </c>
      <c r="I10" s="1"/>
    </row>
    <row r="11" spans="1:9" x14ac:dyDescent="0.25">
      <c r="A11" s="1"/>
      <c r="B11" s="81" t="s">
        <v>118</v>
      </c>
      <c r="C11" s="82"/>
      <c r="D11" s="83"/>
      <c r="E11" s="10">
        <f>SUM(E10:E10)</f>
        <v>0</v>
      </c>
      <c r="F11" s="10">
        <f>SUM(F10:F10)</f>
        <v>0</v>
      </c>
      <c r="G11" s="10">
        <f>SUM(G10:G10)</f>
        <v>0</v>
      </c>
      <c r="H11" s="11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KmPHDgb72zGr07JROAOjWnaFAm5o5AHfysEDGq1D0gdxp0fncYvmGIpM7CUT6Bf5eAd6n6muUolbUWcvntkg6A==" saltValue="cUjUi9HGAyOaftk2zbxMEQ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14</vt:i4>
      </vt:variant>
    </vt:vector>
  </HeadingPairs>
  <TitlesOfParts>
    <vt:vector size="14" baseType="lpstr">
      <vt:lpstr>1. Forside</vt:lpstr>
      <vt:lpstr>Fane 2.1. Økonomisk ramme 2021</vt:lpstr>
      <vt:lpstr>Fane 2.2. Økonomisk ramme 2022</vt:lpstr>
      <vt:lpstr>Fane 2.3. Økonomisk ramme 2023</vt:lpstr>
      <vt:lpstr>Fane 2.4. Økonomisk ramme 2024</vt:lpstr>
      <vt:lpstr>Fane 3. Omkostninger i ØR2020</vt:lpstr>
      <vt:lpstr>Fane 4. Ikke-påvirkelige omk.</vt:lpstr>
      <vt:lpstr>Fane 5. Kontrol af ØR2019</vt:lpstr>
      <vt:lpstr>Fane 6. Anlægsprojekter</vt:lpstr>
      <vt:lpstr>Fane 7.1. Varige tillæg</vt:lpstr>
      <vt:lpstr>Fane 7.2. Engangstillæg</vt:lpstr>
      <vt:lpstr>Fane 8. Tilknyttet virksomhed</vt:lpstr>
      <vt:lpstr>Fane 9. Bortfald</vt:lpstr>
      <vt:lpstr>Fane 10.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2020-10-14T08:23:30Z</dcterms:modified>
</cp:coreProperties>
</file>