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Tønder Spildevand AS (S096)\ØR2025\"/>
    </mc:Choice>
  </mc:AlternateContent>
  <xr:revisionPtr revIDLastSave="0" documentId="13_ncr:1_{1FEEDA33-028D-4EC2-A0B8-C86AA908CBDA}"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9" i="20" l="1"/>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8" i="39"/>
  <c r="E19" i="39" s="1"/>
  <c r="C18" i="39"/>
  <c r="C19"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<sst xmlns="http://schemas.openxmlformats.org/spreadsheetml/2006/main" count="564" uniqueCount="238">
  <si>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</si>
  <si>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</si>
  <si>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</si>
  <si>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</si>
  <si>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</si>
  <si>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</si>
  <si>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</si>
  <si>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</si>
  <si>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</si>
  <si>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</si>
  <si>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</si>
  <si>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</si>
  <si>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</si>
  <si>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</si>
  <si>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</si>
  <si>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</si>
  <si>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</si>
  <si>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</si>
  <si>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</si>
  <si>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</si>
  <si>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</si>
  <si>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</si>
  <si>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</si>
  <si>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</si>
  <si>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</si>
  <si>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</si>
  <si>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</si>
  <si>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</si>
  <si>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</si>
  <si>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</si>
  <si>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</si>
  <si>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</si>
  <si>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</si>
  <si>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</si>
  <si>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</si>
  <si>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</si>
  <si>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</si>
  <si>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</si>
  <si>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</si>
  <si>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</si>
  <si>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</si>
  <si>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</si>
  <si>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</si>
  <si>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</si>
  <si>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</si>
  <si>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</si>
  <si>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</si>
  <si>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</si>
  <si>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</si>
  <si>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</si>
  <si>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</si>
  <si>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</si>
  <si>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</si>
  <si>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</si>
  <si>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</si>
  <si>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</si>
  <si>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</si>
  <si>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</si>
  <si>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</si>
  <si>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</si>
  <si>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</si>
  <si>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</si>
  <si>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</si>
  <si>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</si>
  <si>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</si>
  <si>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</si>
  <si>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</si>
  <si>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</si>
  <si>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</si>
  <si>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</si>
  <si>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</si>
  <si>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</si>
  <si>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</si>
  <si>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</si>
  <si>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</si>
  <si>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</si>
  <si>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</si>
  <si>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</si>
  <si>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</si>
  <si>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</si>
  <si>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</si>
  <si>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</si>
  <si>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</si>
  <si>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</si>
  <si>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</si>
  <si>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</si>
  <si>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</si>
  <si>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</si>
  <si>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</si>
  <si>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</si>
  <si>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</si>
  <si>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</si>
  <si>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</si>
  <si>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</si>
  <si>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</si>
  <si>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</si>
  <si>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</si>
  <si>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</si>
  <si>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</si>
  <si>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</si>
  <si>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</si>
  <si>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</si>
  <si>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</si>
  <si>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</si>
  <si>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</si>
  <si>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</si>
  <si>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</si>
  <si>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</si>
  <si>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</si>
  <si>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</si>
  <si>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</si>
  <si>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</si>
  <si>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</si>
  <si>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</si>
  <si>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</si>
  <si>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</si>
  <si>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</si>
  <si>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</si>
  <si>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</si>
  <si>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</si>
  <si>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</si>
  <si>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</si>
  <si>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</si>
  <si>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</si>
  <si>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</si>
  <si>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</si>
  <si>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</si>
  <si>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</si>
  <si>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</si>
  <si>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</si>
  <si>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</si>
  <si>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</si>
  <si>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</si>
  <si>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</si>
  <si>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</si>
  <si>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</si>
  <si>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</si>
  <si>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</si>
  <si>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</si>
  <si>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</si>
  <si>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</si>
  <si>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</si>
  <si>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</si>
  <si>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</si>
  <si>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</si>
  <si>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</si>
  <si>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</si>
  <si>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</si>
  <si>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</si>
  <si>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</si>
  <si>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</si>
  <si>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</si>
  <si>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</si>
  <si>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</si>
  <si>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</si>
  <si>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</si>
  <si>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</si>
  <si>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</si>
  <si>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</si>
  <si>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</si>
  <si>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</si>
  <si>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</si>
  <si>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</si>
  <si>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</si>
  <si>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</si>
  <si>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</si>
  <si>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</si>
  <si>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</si>
  <si>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</si>
  <si>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</si>
  <si>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</si>
  <si>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</si>
  <si>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</si>
  <si>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</si>
  <si>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</si>
  <si>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</si>
  <si>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</si>
  <si>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</si>
  <si>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</si>
  <si>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</si>
  <si>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</si>
  <si>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</si>
  <si>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</si>
  <si>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</si>
  <si>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</si>
  <si>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</si>
  <si>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</si>
  <si>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</si>
  <si>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</si>
  <si>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</si>
  <si>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</si>
  <si>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</si>
  <si>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</si>
  <si>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</si>
  <si>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</si>
  <si>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</si>
  <si>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</si>
  <si>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</si>
  <si>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</si>
  <si>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</si>
  <si>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</si>
  <si>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</si>
  <si>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</si>
  <si>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</si>
  <si>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</si>
  <si>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</si>
  <si>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</si>
  <si>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</si>
  <si>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</si>
  <si>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</si>
  <si>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</si>
  <si>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</si>
  <si>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</si>
  <si>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</si>
  <si>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</si>
  <si>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</si>
  <si>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</si>
  <si>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</si>
  <si>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</si>
  <si>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</si>
  <si>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</si>
  <si>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</si>
  <si>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</si>
  <si>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</si>
  <si>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</si>
  <si>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</si>
  <si>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</si>
  <si>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</si>
  <si>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</si>
  <si>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Køb af ydelser og produkter fra andre vandselskaber reguleret af vandsektorloven</t>
  </si>
  <si>
    <t>Ejendomsskatter</t>
  </si>
  <si>
    <t>Seperareringsprojekter 2023</t>
  </si>
  <si>
    <t>Tønder midtby etape 3+4</t>
  </si>
  <si>
    <t xml:space="preserve">Branderup Ny Renseanlæg </t>
  </si>
  <si>
    <t>Minirenseanlæg 2023</t>
  </si>
  <si>
    <t>Bortkørsel og prøvetagning PFAS</t>
  </si>
  <si>
    <t>Transport af spildevand Branderup Mejeri</t>
  </si>
  <si>
    <t>Medfinansieringsprojekt - ØR (Aktivitetsbåndet)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</si>
</sst>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66" fontId="8" fillId="8" borderId="2" xfId="1" quotePrefix="1" applyNumberFormat="1" applyFont="1" applyFill="1" applyBorder="1" applyAlignment="1" applyProtection="1">
      <alignment horizontal="righ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7" t="s">
        <v>4</v>
      </c>
      <c r="D6" s="97"/>
      <c r="E6" s="97"/>
      <c r="F6" s="97"/>
      <c r="G6" s="3"/>
    </row>
    <row r="7" spans="1:7" ht="15" customHeight="1" x14ac:dyDescent="0.25">
      <c r="A7" s="1"/>
      <c r="B7" s="3"/>
      <c r="C7" s="97"/>
      <c r="D7" s="97"/>
      <c r="E7" s="97"/>
      <c r="F7" s="97"/>
      <c r="G7" s="3"/>
    </row>
    <row r="8" spans="1:7" ht="15.75" x14ac:dyDescent="0.25">
      <c r="A8" s="1"/>
      <c r="B8" s="4"/>
      <c r="C8" s="102" t="s">
        <v>226</v>
      </c>
      <c r="D8" s="102"/>
      <c r="E8" s="102"/>
      <c r="F8" s="102"/>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101" t="s">
        <v>5</v>
      </c>
      <c r="D11" s="101"/>
      <c r="E11" s="101"/>
      <c r="F11" s="101"/>
      <c r="G11" s="5"/>
    </row>
    <row r="12" spans="1:7" x14ac:dyDescent="0.25">
      <c r="A12" s="1"/>
      <c r="B12" s="1"/>
      <c r="C12" s="1"/>
      <c r="D12" s="1"/>
      <c r="E12" s="1"/>
      <c r="F12" s="1"/>
      <c r="G12" s="5"/>
    </row>
    <row r="13" spans="1:7" x14ac:dyDescent="0.25">
      <c r="A13" s="1"/>
      <c r="B13" s="6" t="s">
        <v>6</v>
      </c>
      <c r="C13" s="103" t="s">
        <v>127</v>
      </c>
      <c r="D13" s="104"/>
      <c r="E13" s="104"/>
      <c r="F13" s="105"/>
      <c r="G13" s="5"/>
    </row>
    <row r="14" spans="1:7" x14ac:dyDescent="0.25">
      <c r="A14" s="1"/>
      <c r="B14" s="6" t="s">
        <v>16</v>
      </c>
      <c r="C14" s="94" t="s">
        <v>186</v>
      </c>
      <c r="D14" s="95"/>
      <c r="E14" s="95"/>
      <c r="F14" s="96"/>
      <c r="G14" s="5"/>
    </row>
    <row r="15" spans="1:7" x14ac:dyDescent="0.25">
      <c r="A15" s="1"/>
      <c r="B15" s="6" t="s">
        <v>30</v>
      </c>
      <c r="C15" s="94" t="s">
        <v>149</v>
      </c>
      <c r="D15" s="95"/>
      <c r="E15" s="95"/>
      <c r="F15" s="96"/>
      <c r="G15" s="5"/>
    </row>
    <row r="16" spans="1:7" x14ac:dyDescent="0.25">
      <c r="A16" s="1"/>
      <c r="B16" s="6" t="s">
        <v>31</v>
      </c>
      <c r="C16" s="94" t="s">
        <v>151</v>
      </c>
      <c r="D16" s="95"/>
      <c r="E16" s="95"/>
      <c r="F16" s="96"/>
      <c r="G16" s="5"/>
    </row>
    <row r="17" spans="1:8" x14ac:dyDescent="0.25">
      <c r="A17" s="1"/>
      <c r="B17" s="6" t="s">
        <v>61</v>
      </c>
      <c r="C17" s="94" t="s">
        <v>152</v>
      </c>
      <c r="D17" s="95"/>
      <c r="E17" s="95"/>
      <c r="F17" s="96"/>
      <c r="G17" s="5"/>
    </row>
    <row r="18" spans="1:8" x14ac:dyDescent="0.25">
      <c r="A18" s="1"/>
      <c r="B18" s="6" t="s">
        <v>53</v>
      </c>
      <c r="C18" s="91" t="s">
        <v>45</v>
      </c>
      <c r="D18" s="92"/>
      <c r="E18" s="92"/>
      <c r="F18" s="93"/>
      <c r="G18" s="5"/>
    </row>
    <row r="19" spans="1:8" x14ac:dyDescent="0.25">
      <c r="A19" s="1"/>
      <c r="B19" s="6" t="s">
        <v>54</v>
      </c>
      <c r="C19" s="91" t="s">
        <v>46</v>
      </c>
      <c r="D19" s="92"/>
      <c r="E19" s="92"/>
      <c r="F19" s="93"/>
      <c r="G19" s="5"/>
    </row>
    <row r="20" spans="1:8" x14ac:dyDescent="0.25">
      <c r="A20" s="1"/>
      <c r="B20" s="6" t="s">
        <v>7</v>
      </c>
      <c r="C20" s="91" t="s">
        <v>10</v>
      </c>
      <c r="D20" s="92"/>
      <c r="E20" s="92"/>
      <c r="F20" s="93"/>
      <c r="G20" s="5"/>
    </row>
    <row r="21" spans="1:8" x14ac:dyDescent="0.25">
      <c r="A21" s="1"/>
      <c r="B21" s="6" t="s">
        <v>55</v>
      </c>
      <c r="C21" s="98" t="s">
        <v>12</v>
      </c>
      <c r="D21" s="99"/>
      <c r="E21" s="99"/>
      <c r="F21" s="100"/>
      <c r="G21" s="5"/>
    </row>
    <row r="22" spans="1:8" x14ac:dyDescent="0.25">
      <c r="A22" s="1"/>
      <c r="B22" s="6" t="s">
        <v>39</v>
      </c>
      <c r="C22" s="85" t="s">
        <v>153</v>
      </c>
      <c r="D22" s="86"/>
      <c r="E22" s="86"/>
      <c r="F22" s="87"/>
      <c r="G22" s="5"/>
    </row>
    <row r="23" spans="1:8" x14ac:dyDescent="0.25">
      <c r="A23" s="1"/>
      <c r="B23" s="6" t="s">
        <v>8</v>
      </c>
      <c r="C23" s="85" t="s">
        <v>112</v>
      </c>
      <c r="D23" s="86"/>
      <c r="E23" s="86"/>
      <c r="F23" s="87"/>
      <c r="G23" s="5"/>
    </row>
    <row r="24" spans="1:8" x14ac:dyDescent="0.25">
      <c r="A24" s="1"/>
      <c r="B24" s="6" t="s">
        <v>9</v>
      </c>
      <c r="C24" s="85" t="s">
        <v>154</v>
      </c>
      <c r="D24" s="86"/>
      <c r="E24" s="86"/>
      <c r="F24" s="87"/>
      <c r="G24" s="5"/>
    </row>
    <row r="25" spans="1:8" x14ac:dyDescent="0.25">
      <c r="A25" s="1"/>
      <c r="B25" s="6" t="s">
        <v>97</v>
      </c>
      <c r="C25" s="85" t="s">
        <v>91</v>
      </c>
      <c r="D25" s="86"/>
      <c r="E25" s="86"/>
      <c r="F25" s="87"/>
      <c r="G25" s="1"/>
    </row>
    <row r="26" spans="1:8" x14ac:dyDescent="0.25">
      <c r="A26" s="1"/>
      <c r="B26" s="6" t="s">
        <v>98</v>
      </c>
      <c r="C26" s="85" t="s">
        <v>40</v>
      </c>
      <c r="D26" s="86"/>
      <c r="E26" s="86"/>
      <c r="F26" s="87"/>
      <c r="G26" s="1"/>
    </row>
    <row r="27" spans="1:8" x14ac:dyDescent="0.25">
      <c r="A27" s="1"/>
      <c r="B27" s="6" t="s">
        <v>99</v>
      </c>
      <c r="C27" s="85" t="s">
        <v>41</v>
      </c>
      <c r="D27" s="86"/>
      <c r="E27" s="86"/>
      <c r="F27" s="87"/>
      <c r="G27" s="1"/>
    </row>
    <row r="28" spans="1:8" x14ac:dyDescent="0.25">
      <c r="A28" s="1"/>
      <c r="B28" s="6" t="s">
        <v>15</v>
      </c>
      <c r="C28" s="85" t="s">
        <v>42</v>
      </c>
      <c r="D28" s="86"/>
      <c r="E28" s="86"/>
      <c r="F28" s="87"/>
      <c r="G28" s="1"/>
      <c r="H28" s="2" t="s">
        <v>150</v>
      </c>
    </row>
    <row r="29" spans="1:8" x14ac:dyDescent="0.25">
      <c r="A29" s="1"/>
      <c r="B29" s="6" t="s">
        <v>33</v>
      </c>
      <c r="C29" s="85" t="s">
        <v>68</v>
      </c>
      <c r="D29" s="86"/>
      <c r="E29" s="86"/>
      <c r="F29" s="87"/>
      <c r="G29" s="1"/>
    </row>
    <row r="30" spans="1:8" x14ac:dyDescent="0.25">
      <c r="A30" s="1"/>
      <c r="B30" s="6" t="s">
        <v>34</v>
      </c>
      <c r="C30" s="85" t="s">
        <v>32</v>
      </c>
      <c r="D30" s="86"/>
      <c r="E30" s="86"/>
      <c r="F30" s="87"/>
      <c r="G30" s="1"/>
    </row>
    <row r="31" spans="1:8" x14ac:dyDescent="0.25">
      <c r="A31" s="1"/>
      <c r="B31" s="6" t="s">
        <v>100</v>
      </c>
      <c r="C31" s="88" t="s">
        <v>52</v>
      </c>
      <c r="D31" s="89"/>
      <c r="E31" s="89"/>
      <c r="F31" s="90"/>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0Gd/+oZX35tQNN1RhSOP68Zj4k1RV9nPXfyMOoFhdefX+sLe6M430yry7+6qi6o9f+zq3qzOipt3frL8ohxG3w==" saltValue="WHtohkDghWM8PxiQIbDv8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58</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0" t="s">
        <v>165</v>
      </c>
      <c r="C8" s="111"/>
      <c r="D8" s="112"/>
      <c r="E8" s="1"/>
    </row>
    <row r="9" spans="1:5" ht="15" customHeight="1" x14ac:dyDescent="0.25">
      <c r="A9" s="1"/>
      <c r="B9" s="27" t="s">
        <v>28</v>
      </c>
      <c r="C9" s="67" t="s">
        <v>166</v>
      </c>
      <c r="D9" s="11"/>
      <c r="E9" s="1"/>
    </row>
    <row r="10" spans="1:5" ht="15" customHeight="1" x14ac:dyDescent="0.25">
      <c r="A10" s="1"/>
      <c r="B10" s="73" t="s">
        <v>227</v>
      </c>
      <c r="C10" s="74">
        <v>940110</v>
      </c>
      <c r="D10" s="14" t="s">
        <v>3</v>
      </c>
      <c r="E10" s="1"/>
    </row>
    <row r="11" spans="1:5" ht="15" customHeight="1" x14ac:dyDescent="0.25">
      <c r="A11" s="1"/>
      <c r="B11" s="73" t="s">
        <v>228</v>
      </c>
      <c r="C11" s="74">
        <v>81006</v>
      </c>
      <c r="D11" s="14" t="s">
        <v>3</v>
      </c>
      <c r="E11" s="1"/>
    </row>
    <row r="12" spans="1:5" ht="25.5" x14ac:dyDescent="0.25">
      <c r="A12" s="1"/>
      <c r="B12" s="73" t="s">
        <v>229</v>
      </c>
      <c r="C12" s="74">
        <v>372229.11</v>
      </c>
      <c r="D12" s="14" t="s">
        <v>3</v>
      </c>
      <c r="E12" s="1"/>
    </row>
    <row r="13" spans="1:5" x14ac:dyDescent="0.25">
      <c r="A13" s="1"/>
      <c r="B13" s="73" t="s">
        <v>230</v>
      </c>
      <c r="C13" s="74">
        <v>170899.94</v>
      </c>
      <c r="D13" s="14" t="s">
        <v>3</v>
      </c>
      <c r="E13" s="1"/>
    </row>
    <row r="14" spans="1:5" x14ac:dyDescent="0.25">
      <c r="A14" s="1"/>
      <c r="B14" s="73" t="s">
        <v>237</v>
      </c>
      <c r="C14" s="74">
        <v>356101</v>
      </c>
      <c r="D14" s="14" t="s">
        <v>3</v>
      </c>
      <c r="E14" s="1"/>
    </row>
    <row r="15" spans="1:5" x14ac:dyDescent="0.25">
      <c r="A15" s="1"/>
      <c r="B15" s="73"/>
      <c r="C15" s="74"/>
      <c r="D15" s="14" t="s">
        <v>3</v>
      </c>
      <c r="E15" s="1"/>
    </row>
    <row r="16" spans="1:5" x14ac:dyDescent="0.25">
      <c r="A16" s="1"/>
      <c r="B16" s="73"/>
      <c r="C16" s="74"/>
      <c r="D16" s="14" t="s">
        <v>3</v>
      </c>
      <c r="E16" s="1"/>
    </row>
    <row r="17" spans="1:5" x14ac:dyDescent="0.25">
      <c r="A17" s="1"/>
      <c r="B17" s="73"/>
      <c r="C17" s="74"/>
      <c r="D17" s="14" t="s">
        <v>3</v>
      </c>
      <c r="E17" s="1"/>
    </row>
    <row r="18" spans="1:5" x14ac:dyDescent="0.25">
      <c r="A18" s="1"/>
      <c r="B18" s="73"/>
      <c r="C18" s="74"/>
      <c r="D18" s="14" t="s">
        <v>3</v>
      </c>
      <c r="E18" s="1"/>
    </row>
    <row r="19" spans="1:5" x14ac:dyDescent="0.25">
      <c r="A19" s="1"/>
      <c r="B19" s="73"/>
      <c r="C19" s="74"/>
      <c r="D19" s="14" t="s">
        <v>3</v>
      </c>
      <c r="E19" s="1"/>
    </row>
    <row r="20" spans="1:5" x14ac:dyDescent="0.25">
      <c r="A20" s="1"/>
      <c r="B20" s="33" t="s">
        <v>167</v>
      </c>
      <c r="C20" s="12">
        <f>SUM(C10:C19)</f>
        <v>1920346.0499999998</v>
      </c>
      <c r="D20" s="13" t="s">
        <v>3</v>
      </c>
      <c r="E20" s="1"/>
    </row>
    <row r="21" spans="1:5" x14ac:dyDescent="0.25">
      <c r="A21" s="1"/>
      <c r="B21" s="33" t="s">
        <v>168</v>
      </c>
      <c r="C21" s="12">
        <f>C20*(1+'Fane 15. Nøgletal'!C10)^2</f>
        <v>2183425.1821585242</v>
      </c>
      <c r="D21" s="13" t="s">
        <v>3</v>
      </c>
      <c r="E21" s="1"/>
    </row>
    <row r="22" spans="1:5" x14ac:dyDescent="0.25">
      <c r="A22" s="1"/>
      <c r="B22" s="16"/>
      <c r="C22" s="15"/>
      <c r="D22" s="15"/>
      <c r="E22" s="1"/>
    </row>
    <row r="23" spans="1:5" x14ac:dyDescent="0.25">
      <c r="A23" s="1"/>
      <c r="B23" s="16"/>
      <c r="C23" s="15"/>
      <c r="D23" s="15"/>
      <c r="E23" s="1"/>
    </row>
    <row r="24" spans="1:5" x14ac:dyDescent="0.25">
      <c r="A24" s="1"/>
      <c r="B24" s="110" t="s">
        <v>60</v>
      </c>
      <c r="C24" s="111"/>
      <c r="D24" s="112"/>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10"/>
      <c r="C29" s="111"/>
      <c r="D29" s="112"/>
      <c r="E29" s="1"/>
    </row>
    <row r="30" spans="1:5" x14ac:dyDescent="0.25">
      <c r="A30" s="1"/>
      <c r="B30" s="1"/>
      <c r="C30" s="1"/>
      <c r="D30" s="1"/>
      <c r="E30" s="1"/>
    </row>
    <row r="31" spans="1:5" x14ac:dyDescent="0.25">
      <c r="A31" s="1"/>
      <c r="B31" s="1"/>
      <c r="C31" s="1"/>
      <c r="D31" s="1"/>
      <c r="E31" s="1"/>
    </row>
    <row r="32" spans="1:5" x14ac:dyDescent="0.25">
      <c r="A32" s="1"/>
      <c r="B32" s="110" t="s">
        <v>47</v>
      </c>
      <c r="C32" s="111"/>
      <c r="D32" s="112"/>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10"/>
      <c r="C37" s="111"/>
      <c r="D37" s="112"/>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i1yc0bXPX7yK337VMvzcstfDu16Jo3urQDwHh7ktwY4Us61YZyfeUn3Z9zxwl5mw0QciZtwkftH5e7C+WEo6UQ==" saltValue="HsJIUZ1FZ9Cymn1oShNgL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201</v>
      </c>
      <c r="C3" s="108"/>
      <c r="D3" s="108"/>
      <c r="E3" s="1"/>
    </row>
    <row r="4" spans="1:5" ht="15" customHeight="1" x14ac:dyDescent="0.25">
      <c r="A4" s="1"/>
      <c r="B4" s="108"/>
      <c r="C4" s="108"/>
      <c r="D4" s="108"/>
      <c r="E4" s="1"/>
    </row>
    <row r="5" spans="1:5" ht="15" customHeight="1" x14ac:dyDescent="0.25">
      <c r="A5" s="1"/>
      <c r="B5" s="108"/>
      <c r="C5" s="108"/>
      <c r="D5" s="108"/>
      <c r="E5" s="1"/>
    </row>
    <row r="6" spans="1:5" ht="15" customHeight="1" x14ac:dyDescent="0.25">
      <c r="A6" s="1"/>
      <c r="B6" s="76"/>
      <c r="C6" s="76"/>
      <c r="D6" s="76"/>
      <c r="E6" s="1"/>
    </row>
    <row r="7" spans="1:5" x14ac:dyDescent="0.25">
      <c r="A7" s="1"/>
      <c r="B7" s="1"/>
      <c r="C7" s="1"/>
      <c r="D7" s="1"/>
      <c r="E7" s="1"/>
    </row>
    <row r="8" spans="1:5" x14ac:dyDescent="0.25">
      <c r="A8" s="1"/>
      <c r="B8" s="110" t="s">
        <v>77</v>
      </c>
      <c r="C8" s="111"/>
      <c r="D8" s="112"/>
      <c r="E8" s="1"/>
    </row>
    <row r="9" spans="1:5" x14ac:dyDescent="0.25">
      <c r="A9" s="1"/>
      <c r="B9" s="65" t="s">
        <v>204</v>
      </c>
      <c r="C9" s="9">
        <v>-4077477.6585624665</v>
      </c>
      <c r="D9" s="14" t="s">
        <v>3</v>
      </c>
      <c r="E9" s="1"/>
    </row>
    <row r="10" spans="1:5" x14ac:dyDescent="0.25">
      <c r="A10" s="1"/>
      <c r="B10" s="33"/>
      <c r="C10" s="28"/>
      <c r="D10" s="19"/>
      <c r="E10" s="1"/>
    </row>
    <row r="11" spans="1:5" ht="53.25" customHeight="1" x14ac:dyDescent="0.25">
      <c r="A11" s="1"/>
      <c r="B11" s="121" t="s">
        <v>212</v>
      </c>
      <c r="C11" s="122"/>
      <c r="D11" s="123"/>
      <c r="E11" s="1"/>
    </row>
    <row r="12" spans="1:5" x14ac:dyDescent="0.25">
      <c r="A12" s="1"/>
      <c r="B12" s="1"/>
      <c r="C12" s="1"/>
      <c r="D12" s="1"/>
      <c r="E12" s="1"/>
    </row>
    <row r="13" spans="1:5" x14ac:dyDescent="0.25">
      <c r="A13" s="1"/>
      <c r="B13" s="110" t="s">
        <v>78</v>
      </c>
      <c r="C13" s="111"/>
      <c r="D13" s="112"/>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21" t="s">
        <v>121</v>
      </c>
      <c r="C17" s="122"/>
      <c r="D17" s="123"/>
      <c r="E17" s="1"/>
    </row>
    <row r="18" spans="1:5" x14ac:dyDescent="0.25">
      <c r="A18" s="1"/>
      <c r="B18" s="1"/>
      <c r="C18" s="1"/>
      <c r="D18" s="1"/>
      <c r="E18" s="1"/>
    </row>
    <row r="19" spans="1:5" x14ac:dyDescent="0.25">
      <c r="A19" s="1"/>
      <c r="B19" s="77" t="s">
        <v>205</v>
      </c>
      <c r="C19" s="78"/>
      <c r="D19" s="79"/>
      <c r="E19" s="1"/>
    </row>
    <row r="20" spans="1:5" x14ac:dyDescent="0.25">
      <c r="A20" s="1"/>
      <c r="B20" s="65" t="s">
        <v>206</v>
      </c>
      <c r="C20" s="9">
        <v>84829613.529585198</v>
      </c>
      <c r="D20" s="14" t="s">
        <v>3</v>
      </c>
      <c r="E20" s="1"/>
    </row>
    <row r="21" spans="1:5" x14ac:dyDescent="0.25">
      <c r="A21" s="1"/>
      <c r="B21" s="65" t="s">
        <v>207</v>
      </c>
      <c r="C21" s="9">
        <v>85116271.209999993</v>
      </c>
      <c r="D21" s="14" t="s">
        <v>3</v>
      </c>
      <c r="E21" s="1"/>
    </row>
    <row r="22" spans="1:5" x14ac:dyDescent="0.25">
      <c r="A22" s="1"/>
      <c r="B22" s="65" t="s">
        <v>29</v>
      </c>
      <c r="C22" s="9">
        <v>0</v>
      </c>
      <c r="D22" s="14" t="s">
        <v>3</v>
      </c>
      <c r="E22" s="1"/>
    </row>
    <row r="23" spans="1:5" x14ac:dyDescent="0.25">
      <c r="A23" s="1"/>
      <c r="B23" s="83" t="s">
        <v>208</v>
      </c>
      <c r="C23" s="57">
        <f>C20-C21-C22</f>
        <v>-286657.68041479588</v>
      </c>
      <c r="D23" s="17" t="s">
        <v>3</v>
      </c>
      <c r="E23" s="1"/>
    </row>
    <row r="24" spans="1:5" x14ac:dyDescent="0.25">
      <c r="A24" s="1"/>
      <c r="B24" s="33"/>
      <c r="C24" s="28"/>
      <c r="D24" s="19"/>
      <c r="E24" s="1"/>
    </row>
    <row r="25" spans="1:5" x14ac:dyDescent="0.25">
      <c r="A25" s="1"/>
      <c r="B25" s="1"/>
      <c r="C25" s="1"/>
      <c r="D25" s="1"/>
      <c r="E25" s="1"/>
    </row>
    <row r="26" spans="1:5" x14ac:dyDescent="0.25">
      <c r="A26" s="1"/>
      <c r="B26" s="110" t="s">
        <v>209</v>
      </c>
      <c r="C26" s="111"/>
      <c r="D26" s="112"/>
      <c r="E26" s="1"/>
    </row>
    <row r="27" spans="1:5" x14ac:dyDescent="0.25">
      <c r="A27" s="1"/>
      <c r="B27" s="83" t="s">
        <v>210</v>
      </c>
      <c r="C27" s="57">
        <f>IF(AND(C15&lt;0,C23&gt;0,ABS(SUM(C14:C15))&lt;C23),ABS(C14),IF(AND(C15&lt;0,C23&gt;0,ABS(SUM(C14:C15))&gt;C23),SUM(C14,C23),C15))</f>
        <v>0</v>
      </c>
      <c r="D27" s="17" t="s">
        <v>3</v>
      </c>
      <c r="E27" s="1"/>
    </row>
    <row r="28" spans="1:5" x14ac:dyDescent="0.25">
      <c r="A28" s="1"/>
      <c r="B28" s="110"/>
      <c r="C28" s="111"/>
      <c r="D28" s="112"/>
      <c r="E28" s="1"/>
    </row>
    <row r="29" spans="1:5" x14ac:dyDescent="0.25">
      <c r="A29" s="1"/>
      <c r="B29" s="1"/>
      <c r="C29" s="1"/>
      <c r="D29" s="1"/>
      <c r="E29" s="1"/>
    </row>
    <row r="30" spans="1:5" x14ac:dyDescent="0.25">
      <c r="A30" s="1"/>
      <c r="B30" s="110" t="s">
        <v>211</v>
      </c>
      <c r="C30" s="111"/>
      <c r="D30" s="112"/>
      <c r="E30" s="1"/>
    </row>
    <row r="31" spans="1:5" x14ac:dyDescent="0.25">
      <c r="A31" s="1"/>
      <c r="B31" s="66" t="s">
        <v>69</v>
      </c>
      <c r="C31" s="58">
        <f>IF(AND(C9&gt;0,(C9+C23)&gt;0),0,IF(AND(C9&gt;0,(C9+C23)&lt;0),(C9+C23),IF(AND(C9&lt;0,C23&lt;0),C23,0)))</f>
        <v>-286657.68041479588</v>
      </c>
      <c r="D31" s="14" t="s">
        <v>3</v>
      </c>
      <c r="E31" s="1"/>
    </row>
    <row r="32" spans="1:5" x14ac:dyDescent="0.25">
      <c r="A32" s="1"/>
      <c r="B32" s="66" t="s">
        <v>49</v>
      </c>
      <c r="C32" s="9">
        <v>2</v>
      </c>
      <c r="D32" s="14" t="s">
        <v>20</v>
      </c>
      <c r="E32" s="1"/>
    </row>
    <row r="33" spans="1:5" x14ac:dyDescent="0.25">
      <c r="A33" s="1"/>
      <c r="B33" s="67" t="s">
        <v>70</v>
      </c>
      <c r="C33" s="57">
        <f>C31/C32</f>
        <v>-143328.84020739794</v>
      </c>
      <c r="D33" s="17" t="s">
        <v>3</v>
      </c>
      <c r="E33" s="1"/>
    </row>
    <row r="34" spans="1:5" x14ac:dyDescent="0.25">
      <c r="A34" s="1"/>
      <c r="B34" s="118"/>
      <c r="C34" s="119"/>
      <c r="D34" s="120"/>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ZV7do6sTQPxEfGnczCVJ3KjKfWCNJqtVnEL/GSctra2RjRVrmaWygnERy3t6rqFQPR/tWJ1rHtofODs8yRH74A==" saltValue="royumIqIzTxkAMUndzR0NQ=="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8" t="s">
        <v>101</v>
      </c>
      <c r="C3" s="108"/>
      <c r="D3" s="108"/>
      <c r="E3" s="1"/>
    </row>
    <row r="4" spans="1:5" ht="15" customHeight="1" x14ac:dyDescent="0.25">
      <c r="A4" s="1"/>
      <c r="B4" s="108"/>
      <c r="C4" s="108"/>
      <c r="D4" s="108"/>
      <c r="E4" s="1"/>
    </row>
    <row r="5" spans="1:5" x14ac:dyDescent="0.25">
      <c r="A5" s="1"/>
      <c r="B5" s="108"/>
      <c r="C5" s="108"/>
      <c r="D5" s="108"/>
      <c r="E5" s="1"/>
    </row>
    <row r="6" spans="1:5" x14ac:dyDescent="0.25">
      <c r="A6" s="1"/>
      <c r="B6" s="1"/>
      <c r="C6" s="1"/>
      <c r="D6" s="1"/>
      <c r="E6" s="1"/>
    </row>
    <row r="7" spans="1:5" x14ac:dyDescent="0.25">
      <c r="A7" s="1"/>
      <c r="B7" s="1"/>
      <c r="C7" s="1"/>
      <c r="D7" s="1"/>
      <c r="E7" s="1"/>
    </row>
    <row r="8" spans="1:5" x14ac:dyDescent="0.25">
      <c r="A8" s="1"/>
      <c r="B8" s="110" t="s">
        <v>120</v>
      </c>
      <c r="C8" s="111"/>
      <c r="D8" s="112"/>
      <c r="E8" s="1"/>
    </row>
    <row r="9" spans="1:5" ht="15" customHeight="1" x14ac:dyDescent="0.25">
      <c r="A9" s="1"/>
      <c r="B9" s="124" t="s">
        <v>102</v>
      </c>
      <c r="C9" s="125"/>
      <c r="D9" s="126"/>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7"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QbdsqzcQSDe0zWA5lxJMTzbksWf/uItAc82+kc6gk6nsETX2n0EtaYtVSIfxqxrgKANMgNumZ3Lgo8b3LMKDNA==" saltValue="J6EYBO2NnPYoeEZvgE/rRg=="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170</v>
      </c>
      <c r="C3" s="108"/>
      <c r="D3" s="108"/>
      <c r="E3" s="1"/>
    </row>
    <row r="4" spans="1:5" ht="15" customHeight="1" x14ac:dyDescent="0.25">
      <c r="A4" s="1"/>
      <c r="B4" s="108"/>
      <c r="C4" s="108"/>
      <c r="D4" s="108"/>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10" t="s">
        <v>171</v>
      </c>
      <c r="C8" s="111"/>
      <c r="D8" s="112"/>
      <c r="E8" s="1"/>
    </row>
    <row r="9" spans="1:5" ht="26.25" x14ac:dyDescent="0.25">
      <c r="A9" s="1"/>
      <c r="B9" s="80" t="s">
        <v>215</v>
      </c>
      <c r="C9" s="7">
        <v>1774117.0098857693</v>
      </c>
      <c r="D9" s="8" t="s">
        <v>3</v>
      </c>
      <c r="E9" s="1"/>
    </row>
    <row r="10" spans="1:5" ht="14.25" customHeight="1" x14ac:dyDescent="0.25">
      <c r="A10" s="1"/>
      <c r="B10" s="65" t="s">
        <v>172</v>
      </c>
      <c r="C10" s="7">
        <v>0</v>
      </c>
      <c r="D10" s="8" t="s">
        <v>3</v>
      </c>
      <c r="E10" s="1"/>
    </row>
    <row r="11" spans="1:5" ht="14.25" customHeight="1" x14ac:dyDescent="0.25">
      <c r="A11" s="1"/>
      <c r="B11" s="83" t="s">
        <v>48</v>
      </c>
      <c r="C11" s="10">
        <f>C10-C9</f>
        <v>-1774117.0098857693</v>
      </c>
      <c r="D11" s="11" t="s">
        <v>3</v>
      </c>
      <c r="E11" s="1"/>
    </row>
    <row r="12" spans="1:5" ht="14.25" customHeight="1" x14ac:dyDescent="0.25">
      <c r="A12" s="1"/>
      <c r="B12" s="110" t="s">
        <v>217</v>
      </c>
      <c r="C12" s="111"/>
      <c r="D12" s="112"/>
      <c r="E12" s="1"/>
    </row>
    <row r="13" spans="1:5" ht="26.25" x14ac:dyDescent="0.25">
      <c r="A13" s="1"/>
      <c r="B13" s="80" t="s">
        <v>216</v>
      </c>
      <c r="C13" s="7">
        <v>0</v>
      </c>
      <c r="D13" s="8" t="s">
        <v>3</v>
      </c>
      <c r="E13" s="1"/>
    </row>
    <row r="14" spans="1:5" ht="14.25" customHeight="1" x14ac:dyDescent="0.25">
      <c r="A14" s="1"/>
      <c r="B14" s="65" t="s">
        <v>173</v>
      </c>
      <c r="C14" s="7">
        <v>0</v>
      </c>
      <c r="D14" s="8" t="s">
        <v>3</v>
      </c>
      <c r="E14" s="1"/>
    </row>
    <row r="15" spans="1:5" ht="14.25" customHeight="1" x14ac:dyDescent="0.25">
      <c r="A15" s="1"/>
      <c r="B15" s="83" t="s">
        <v>48</v>
      </c>
      <c r="C15" s="10">
        <f>C14-C13</f>
        <v>0</v>
      </c>
      <c r="D15" s="11" t="s">
        <v>3</v>
      </c>
      <c r="E15" s="1"/>
    </row>
    <row r="16" spans="1:5" ht="14.25" customHeight="1" x14ac:dyDescent="0.25">
      <c r="A16" s="1"/>
      <c r="B16" s="33" t="s">
        <v>174</v>
      </c>
      <c r="C16" s="12">
        <f>C11+C15</f>
        <v>-1774117.0098857693</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G/xPqfRZQCgT/JHBS5upMtsA0adOck0o67bVTZQre1YMm5aul+LYSDRtp0al6JYIWu/tJ9dGercEA6gMpGmw2A==" saltValue="XltdBSYIvHU5lBhsayQZrg=="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6" t="s">
        <v>113</v>
      </c>
      <c r="C3" s="106"/>
      <c r="D3" s="106"/>
      <c r="E3" s="106"/>
      <c r="F3" s="106"/>
      <c r="G3" s="106"/>
      <c r="H3" s="106"/>
      <c r="I3" s="106"/>
      <c r="J3" s="106"/>
      <c r="K3" s="106"/>
      <c r="L3" s="1"/>
    </row>
    <row r="4" spans="1:12" ht="15" customHeight="1" x14ac:dyDescent="0.25">
      <c r="A4" s="1"/>
      <c r="B4" s="106"/>
      <c r="C4" s="106"/>
      <c r="D4" s="106"/>
      <c r="E4" s="106"/>
      <c r="F4" s="106"/>
      <c r="G4" s="106"/>
      <c r="H4" s="106"/>
      <c r="I4" s="106"/>
      <c r="J4" s="106"/>
      <c r="K4" s="106"/>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0" t="s">
        <v>86</v>
      </c>
      <c r="C8" s="111"/>
      <c r="D8" s="111"/>
      <c r="E8" s="111"/>
      <c r="F8" s="111"/>
      <c r="G8" s="111"/>
      <c r="H8" s="111"/>
      <c r="I8" s="111"/>
      <c r="J8" s="111"/>
      <c r="K8" s="112"/>
      <c r="L8" s="1"/>
    </row>
    <row r="9" spans="1:12" ht="39.75" customHeight="1" x14ac:dyDescent="0.25">
      <c r="A9" s="1"/>
      <c r="B9" s="18" t="s">
        <v>0</v>
      </c>
      <c r="C9" s="18" t="s">
        <v>1</v>
      </c>
      <c r="D9" s="127" t="s">
        <v>96</v>
      </c>
      <c r="E9" s="128"/>
      <c r="F9" s="127" t="s">
        <v>2</v>
      </c>
      <c r="G9" s="128"/>
      <c r="H9" s="127" t="s">
        <v>95</v>
      </c>
      <c r="I9" s="128"/>
      <c r="J9" s="127" t="s">
        <v>26</v>
      </c>
      <c r="K9" s="128"/>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7" t="s">
        <v>219</v>
      </c>
      <c r="C11" s="78"/>
      <c r="D11" s="79"/>
      <c r="E11" s="79"/>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YV6bvRj4rikHla5YNwF5eTj/T2A1F4eEuF1CvilJ5t7Rbr8ZNOcaJnhSQTFfTJmgHLei6bBi2njCPx0kx0l5EA==" saltValue="McHRpi4Zx6Yrvxx1HlkFe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114</v>
      </c>
      <c r="C3" s="106"/>
      <c r="D3" s="106"/>
      <c r="E3" s="106"/>
      <c r="F3" s="106"/>
      <c r="G3" s="1"/>
    </row>
    <row r="4" spans="1:7" ht="15" customHeight="1" x14ac:dyDescent="0.25">
      <c r="A4" s="1"/>
      <c r="B4" s="106"/>
      <c r="C4" s="106"/>
      <c r="D4" s="106"/>
      <c r="E4" s="106"/>
      <c r="F4" s="10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1" t="s">
        <v>17</v>
      </c>
      <c r="C9" s="83" t="s">
        <v>11</v>
      </c>
      <c r="D9" s="82"/>
      <c r="E9" s="83"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231</v>
      </c>
      <c r="C11" s="21">
        <v>888809</v>
      </c>
      <c r="D11" s="14" t="s">
        <v>3</v>
      </c>
      <c r="E11" s="9">
        <v>2993581</v>
      </c>
      <c r="F11" s="14" t="s">
        <v>3</v>
      </c>
      <c r="G11" s="1"/>
    </row>
    <row r="12" spans="1:7" x14ac:dyDescent="0.25">
      <c r="A12" s="1"/>
      <c r="B12" s="24" t="s">
        <v>232</v>
      </c>
      <c r="C12" s="21">
        <v>206845</v>
      </c>
      <c r="D12" s="14" t="s">
        <v>3</v>
      </c>
      <c r="E12" s="9">
        <v>437302</v>
      </c>
      <c r="F12" s="14" t="s">
        <v>3</v>
      </c>
      <c r="G12" s="1"/>
    </row>
    <row r="13" spans="1:7" x14ac:dyDescent="0.25">
      <c r="A13" s="1"/>
      <c r="B13" s="24" t="s">
        <v>233</v>
      </c>
      <c r="C13" s="21">
        <v>0</v>
      </c>
      <c r="D13" s="14" t="s">
        <v>3</v>
      </c>
      <c r="E13" s="9">
        <v>1780896</v>
      </c>
      <c r="F13" s="14" t="s">
        <v>3</v>
      </c>
      <c r="G13" s="1"/>
    </row>
    <row r="14" spans="1:7" x14ac:dyDescent="0.25">
      <c r="A14" s="1"/>
      <c r="B14" s="24" t="s">
        <v>234</v>
      </c>
      <c r="C14" s="21">
        <v>3586</v>
      </c>
      <c r="D14" s="14" t="s">
        <v>3</v>
      </c>
      <c r="E14" s="9">
        <v>11468</v>
      </c>
      <c r="F14" s="14" t="s">
        <v>3</v>
      </c>
      <c r="G14" s="1"/>
    </row>
    <row r="15" spans="1:7" x14ac:dyDescent="0.25">
      <c r="A15" s="1"/>
      <c r="B15" s="24"/>
      <c r="C15" s="21"/>
      <c r="D15" s="14" t="s">
        <v>3</v>
      </c>
      <c r="E15" s="9">
        <v>0</v>
      </c>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1099240</v>
      </c>
      <c r="D19" s="13" t="s">
        <v>3</v>
      </c>
      <c r="E19" s="12">
        <f>SUM(E10:E18)</f>
        <v>5223247</v>
      </c>
      <c r="F19" s="13" t="s">
        <v>3</v>
      </c>
      <c r="G19" s="1"/>
    </row>
    <row r="20" spans="1:7" x14ac:dyDescent="0.25">
      <c r="A20" s="1"/>
      <c r="B20" s="33" t="s">
        <v>175</v>
      </c>
      <c r="C20" s="12">
        <f>C19*(1+'Fane 15. Nøgletal'!C10)</f>
        <v>1172119.612</v>
      </c>
      <c r="D20" s="13" t="s">
        <v>3</v>
      </c>
      <c r="E20" s="12">
        <f>E19*(1+'Fane 15. Nøgletal'!C10)</f>
        <v>5569548.2761000004</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VSekVotL2b5pGFYf7UCmA5dDIIX+R/2wXeIqvSgGCoEKGUoN2gbj9x5Ocrbk0bIyTf3PhVKVJdgIPDguhwqqyA==" saltValue="0TbSoXZhzYkW3869QOBjV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115</v>
      </c>
      <c r="C3" s="106"/>
      <c r="D3" s="106"/>
      <c r="E3" s="106"/>
      <c r="F3" s="106"/>
      <c r="G3" s="1"/>
    </row>
    <row r="4" spans="1:7" ht="15" customHeight="1" x14ac:dyDescent="0.25">
      <c r="A4" s="1"/>
      <c r="B4" s="106"/>
      <c r="C4" s="106"/>
      <c r="D4" s="106"/>
      <c r="E4" s="106"/>
      <c r="F4" s="106"/>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0" t="s">
        <v>176</v>
      </c>
      <c r="C8" s="111"/>
      <c r="D8" s="111"/>
      <c r="E8" s="111"/>
      <c r="F8" s="112"/>
      <c r="G8" s="1"/>
    </row>
    <row r="9" spans="1:7" x14ac:dyDescent="0.25">
      <c r="A9" s="1"/>
      <c r="B9" s="81" t="s">
        <v>17</v>
      </c>
      <c r="C9" s="83" t="s">
        <v>11</v>
      </c>
      <c r="D9" s="82"/>
      <c r="E9" s="83" t="s">
        <v>27</v>
      </c>
      <c r="F9" s="32"/>
      <c r="G9" s="1"/>
    </row>
    <row r="10" spans="1:7" x14ac:dyDescent="0.25">
      <c r="A10" s="1"/>
      <c r="B10" s="24" t="s">
        <v>235</v>
      </c>
      <c r="C10" s="21">
        <v>1821998</v>
      </c>
      <c r="D10" s="14" t="s">
        <v>3</v>
      </c>
      <c r="E10" s="9">
        <v>0</v>
      </c>
      <c r="F10" s="14" t="s">
        <v>3</v>
      </c>
      <c r="G10" s="1"/>
    </row>
    <row r="11" spans="1:7" x14ac:dyDescent="0.25">
      <c r="A11" s="1"/>
      <c r="B11" s="24" t="s">
        <v>231</v>
      </c>
      <c r="C11" s="21">
        <v>0</v>
      </c>
      <c r="D11" s="14" t="s">
        <v>3</v>
      </c>
      <c r="E11" s="9">
        <v>741926</v>
      </c>
      <c r="F11" s="14" t="s">
        <v>3</v>
      </c>
      <c r="G11" s="1"/>
    </row>
    <row r="12" spans="1:7" x14ac:dyDescent="0.25">
      <c r="A12" s="1"/>
      <c r="B12" s="24" t="s">
        <v>233</v>
      </c>
      <c r="C12" s="21">
        <v>1644245</v>
      </c>
      <c r="D12" s="14" t="s">
        <v>3</v>
      </c>
      <c r="E12" s="9">
        <v>1912778</v>
      </c>
      <c r="F12" s="14" t="s">
        <v>3</v>
      </c>
      <c r="G12" s="1"/>
    </row>
    <row r="13" spans="1:7" x14ac:dyDescent="0.25">
      <c r="A13" s="1"/>
      <c r="B13" s="24" t="s">
        <v>236</v>
      </c>
      <c r="C13" s="21">
        <v>6847771</v>
      </c>
      <c r="D13" s="14" t="s">
        <v>3</v>
      </c>
      <c r="E13" s="9">
        <v>0</v>
      </c>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33" t="s">
        <v>177</v>
      </c>
      <c r="C18" s="12">
        <f>SUM(C10:C17)</f>
        <v>10314014</v>
      </c>
      <c r="D18" s="13" t="s">
        <v>3</v>
      </c>
      <c r="E18" s="12">
        <f>SUM(E10:E17)</f>
        <v>2654704</v>
      </c>
      <c r="F18" s="13" t="s">
        <v>3</v>
      </c>
      <c r="G18" s="1"/>
    </row>
    <row r="19" spans="1:7" x14ac:dyDescent="0.25">
      <c r="A19" s="1"/>
      <c r="B19" s="33" t="s">
        <v>178</v>
      </c>
      <c r="C19" s="12">
        <f>C18*(1+'Fane 15. Nøgletal'!C10)^2</f>
        <v>11726989.46459966</v>
      </c>
      <c r="D19" s="13" t="s">
        <v>3</v>
      </c>
      <c r="E19" s="12">
        <f>E18*(1+'Fane 15. Nøgletal'!C10)^2</f>
        <v>3018387.0062257601</v>
      </c>
      <c r="F19" s="13" t="s">
        <v>3</v>
      </c>
      <c r="G19" s="1"/>
    </row>
    <row r="20" spans="1:7" x14ac:dyDescent="0.25">
      <c r="A20" s="1"/>
      <c r="B20" s="1"/>
      <c r="C20" s="1"/>
      <c r="D20" s="1"/>
      <c r="E20" s="1"/>
      <c r="F20" s="1"/>
      <c r="G20" s="1"/>
    </row>
    <row r="21" spans="1:7" x14ac:dyDescent="0.25">
      <c r="A21" s="1"/>
      <c r="B21" s="129"/>
      <c r="C21" s="129"/>
      <c r="D21" s="129"/>
      <c r="E21" s="129"/>
      <c r="F21" s="129"/>
      <c r="G21" s="1"/>
    </row>
    <row r="22" spans="1:7" x14ac:dyDescent="0.25">
      <c r="A22" s="1"/>
      <c r="B22" s="47"/>
      <c r="C22" s="47"/>
      <c r="D22" s="47"/>
      <c r="E22" s="47"/>
      <c r="F22" s="48"/>
      <c r="G22" s="1"/>
    </row>
    <row r="23" spans="1:7" x14ac:dyDescent="0.25">
      <c r="A23" s="1"/>
      <c r="B23" s="49"/>
      <c r="C23" s="50"/>
      <c r="D23" s="51"/>
      <c r="E23" s="52"/>
      <c r="F23" s="51"/>
      <c r="G23" s="1"/>
    </row>
    <row r="24" spans="1:7" x14ac:dyDescent="0.25">
      <c r="A24" s="1"/>
      <c r="B24" s="49"/>
      <c r="C24" s="50"/>
      <c r="D24" s="51"/>
      <c r="E24" s="52"/>
      <c r="F24" s="51"/>
      <c r="G24" s="1"/>
    </row>
    <row r="25" spans="1:7" x14ac:dyDescent="0.25">
      <c r="A25" s="1"/>
      <c r="B25" s="53"/>
      <c r="C25" s="54"/>
      <c r="D25" s="55"/>
      <c r="E25" s="54"/>
      <c r="F25" s="55"/>
      <c r="G25" s="1"/>
    </row>
    <row r="26" spans="1:7" x14ac:dyDescent="0.25">
      <c r="A26" s="1"/>
      <c r="B26" s="53"/>
      <c r="C26" s="54"/>
      <c r="D26" s="55"/>
      <c r="E26" s="54"/>
      <c r="F26" s="55"/>
      <c r="G26" s="1"/>
    </row>
    <row r="27" spans="1:7" x14ac:dyDescent="0.25">
      <c r="A27" s="1"/>
      <c r="B27" s="46"/>
      <c r="C27" s="46"/>
      <c r="D27" s="46"/>
      <c r="E27" s="46"/>
      <c r="F27" s="46"/>
      <c r="G27" s="1"/>
    </row>
    <row r="28" spans="1:7" x14ac:dyDescent="0.25">
      <c r="A28" s="1"/>
      <c r="B28" s="47"/>
      <c r="C28" s="47"/>
      <c r="D28" s="47"/>
      <c r="E28" s="47"/>
      <c r="F28" s="48"/>
      <c r="G28" s="1"/>
    </row>
    <row r="29" spans="1:7" x14ac:dyDescent="0.25">
      <c r="A29" s="1"/>
      <c r="B29" s="49"/>
      <c r="C29" s="50"/>
      <c r="D29" s="51"/>
      <c r="E29" s="52"/>
      <c r="F29" s="51"/>
      <c r="G29" s="1"/>
    </row>
    <row r="30" spans="1:7" x14ac:dyDescent="0.25">
      <c r="A30" s="1"/>
      <c r="B30" s="49"/>
      <c r="C30" s="50"/>
      <c r="D30" s="51"/>
      <c r="E30" s="52"/>
      <c r="F30" s="51"/>
      <c r="G30" s="1"/>
    </row>
    <row r="31" spans="1:7" x14ac:dyDescent="0.25">
      <c r="A31" s="1"/>
      <c r="B31" s="53"/>
      <c r="C31" s="54"/>
      <c r="D31" s="55"/>
      <c r="E31" s="54"/>
      <c r="F31" s="55"/>
      <c r="G31" s="1"/>
    </row>
    <row r="32" spans="1:7" x14ac:dyDescent="0.25">
      <c r="A32" s="1"/>
      <c r="B32" s="53"/>
      <c r="C32" s="54"/>
      <c r="D32" s="55"/>
      <c r="E32" s="54"/>
      <c r="F32" s="55"/>
      <c r="G32" s="1"/>
    </row>
    <row r="33" spans="1:7" x14ac:dyDescent="0.25">
      <c r="A33" s="1"/>
      <c r="B33" s="46"/>
      <c r="C33" s="46"/>
      <c r="D33" s="46"/>
      <c r="E33" s="46"/>
      <c r="F33" s="46"/>
      <c r="G33" s="1"/>
    </row>
    <row r="34" spans="1:7" x14ac:dyDescent="0.25">
      <c r="A34" s="1"/>
      <c r="B34" s="129"/>
      <c r="C34" s="129"/>
      <c r="D34" s="129"/>
      <c r="E34" s="129"/>
      <c r="F34" s="129"/>
      <c r="G34" s="1"/>
    </row>
    <row r="35" spans="1:7" x14ac:dyDescent="0.25">
      <c r="A35" s="1"/>
      <c r="B35" s="47"/>
      <c r="C35" s="47"/>
      <c r="D35" s="47"/>
      <c r="E35" s="47"/>
      <c r="F35" s="48"/>
      <c r="G35" s="1"/>
    </row>
    <row r="36" spans="1:7" x14ac:dyDescent="0.25">
      <c r="A36" s="1"/>
      <c r="B36" s="49"/>
      <c r="C36" s="50"/>
      <c r="D36" s="51"/>
      <c r="E36" s="52"/>
      <c r="F36" s="51"/>
      <c r="G36" s="1"/>
    </row>
    <row r="37" spans="1:7" x14ac:dyDescent="0.25">
      <c r="A37" s="1"/>
      <c r="B37" s="49"/>
      <c r="C37" s="50"/>
      <c r="D37" s="51"/>
      <c r="E37" s="52"/>
      <c r="F37" s="51"/>
      <c r="G37" s="1"/>
    </row>
    <row r="38" spans="1:7" x14ac:dyDescent="0.25">
      <c r="A38" s="1"/>
      <c r="B38" s="53"/>
      <c r="C38" s="54"/>
      <c r="D38" s="55"/>
      <c r="E38" s="54"/>
      <c r="F38" s="55"/>
      <c r="G38" s="1"/>
    </row>
    <row r="39" spans="1:7" x14ac:dyDescent="0.25">
      <c r="A39" s="1"/>
      <c r="B39" s="53"/>
      <c r="C39" s="54"/>
      <c r="D39" s="55"/>
      <c r="E39" s="54"/>
      <c r="F39" s="55"/>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sheetData>
  <sheetProtection algorithmName="SHA-512" hashValue="U5LBKrbzIcNnuS3gKm2uwhMIlS06ajqfCILBpwCbr/gcnsJbqxUSVq7xOZ8mzabSVpZ+imiWcoIf3LkmJPnFoQ==" saltValue="dSxlX3DeeSYZMHZin+vUFQ==" spinCount="100000" sheet="1" objects="1" scenarios="1"/>
  <mergeCells count="4">
    <mergeCell ref="B34:F34"/>
    <mergeCell ref="B3:F4"/>
    <mergeCell ref="B8:F8"/>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116</v>
      </c>
      <c r="C3" s="108"/>
      <c r="D3" s="108"/>
      <c r="E3" s="1"/>
    </row>
    <row r="4" spans="1:5" ht="15" customHeight="1" x14ac:dyDescent="0.25">
      <c r="A4" s="1"/>
      <c r="B4" s="108"/>
      <c r="C4" s="108"/>
      <c r="D4" s="108"/>
      <c r="E4" s="1"/>
    </row>
    <row r="5" spans="1:5" x14ac:dyDescent="0.25">
      <c r="A5" s="1"/>
      <c r="B5" s="108"/>
      <c r="C5" s="108"/>
      <c r="D5" s="108"/>
      <c r="E5" s="1"/>
    </row>
    <row r="6" spans="1:5" x14ac:dyDescent="0.25">
      <c r="A6" s="1"/>
      <c r="B6" s="1"/>
      <c r="C6" s="1"/>
      <c r="D6" s="1"/>
      <c r="E6" s="1"/>
    </row>
    <row r="7" spans="1:5" x14ac:dyDescent="0.25">
      <c r="A7" s="1"/>
      <c r="B7" s="1"/>
      <c r="C7" s="1"/>
      <c r="D7" s="1"/>
      <c r="E7" s="1"/>
    </row>
    <row r="8" spans="1:5" ht="14.25" customHeight="1" x14ac:dyDescent="0.25">
      <c r="A8" s="1"/>
      <c r="B8" s="110" t="s">
        <v>73</v>
      </c>
      <c r="C8" s="111"/>
      <c r="D8" s="112"/>
      <c r="E8" s="1"/>
    </row>
    <row r="9" spans="1:5" x14ac:dyDescent="0.25">
      <c r="A9" s="1"/>
      <c r="B9" s="68" t="s">
        <v>179</v>
      </c>
      <c r="C9" s="9">
        <f>3081734.48328102*(1+'Fane 15. Nøgletal'!C9)</f>
        <v>3330738.6295301262</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-66614.77259060253</v>
      </c>
      <c r="D11" s="14" t="s">
        <v>3</v>
      </c>
      <c r="E11" s="1"/>
    </row>
    <row r="12" spans="1:5" x14ac:dyDescent="0.25">
      <c r="A12" s="1"/>
      <c r="B12" s="77" t="s">
        <v>74</v>
      </c>
      <c r="C12" s="12">
        <f>SUM(C9:C11)*(1+'Fane 15. Nøgletal'!C9)^2</f>
        <v>3812916.5617983202</v>
      </c>
      <c r="D12" s="13" t="s">
        <v>3</v>
      </c>
      <c r="E12" s="1"/>
    </row>
    <row r="13" spans="1:5" x14ac:dyDescent="0.25">
      <c r="A13" s="1"/>
      <c r="B13" s="1"/>
      <c r="C13" s="1"/>
      <c r="D13" s="1"/>
      <c r="E13" s="1"/>
    </row>
    <row r="14" spans="1:5" ht="15" customHeight="1" x14ac:dyDescent="0.25">
      <c r="A14" s="1"/>
      <c r="B14" s="110" t="s">
        <v>84</v>
      </c>
      <c r="C14" s="111"/>
      <c r="D14" s="112"/>
      <c r="E14" s="1"/>
    </row>
    <row r="15" spans="1:5" x14ac:dyDescent="0.25">
      <c r="A15" s="1"/>
      <c r="B15" s="68" t="s">
        <v>179</v>
      </c>
      <c r="C15" s="9">
        <v>3191444.2308858219</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-63828.884617716438</v>
      </c>
      <c r="D17" s="14" t="s">
        <v>3</v>
      </c>
      <c r="E17" s="1"/>
    </row>
    <row r="18" spans="1:5" x14ac:dyDescent="0.25">
      <c r="A18" s="1"/>
      <c r="B18" s="77" t="s">
        <v>85</v>
      </c>
      <c r="C18" s="12">
        <f>SUM(C15:C17)*(1+'Fane 15. Nøgletal'!C10)^3</f>
        <v>3791853.6153684887</v>
      </c>
      <c r="D18" s="13" t="s">
        <v>3</v>
      </c>
      <c r="E18" s="1"/>
    </row>
    <row r="19" spans="1:5" x14ac:dyDescent="0.25">
      <c r="A19" s="1"/>
      <c r="B19" s="1"/>
      <c r="C19" s="1"/>
      <c r="D19" s="1"/>
      <c r="E19" s="1"/>
    </row>
    <row r="20" spans="1:5" ht="15" customHeight="1" x14ac:dyDescent="0.25">
      <c r="A20" s="1"/>
      <c r="B20" s="110" t="s">
        <v>140</v>
      </c>
      <c r="C20" s="111"/>
      <c r="D20" s="112"/>
      <c r="E20" s="1"/>
    </row>
    <row r="21" spans="1:5" x14ac:dyDescent="0.25">
      <c r="A21" s="1"/>
      <c r="B21" s="68" t="s">
        <v>179</v>
      </c>
      <c r="C21" s="9">
        <v>3191444.2308858219</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-63828.884617716438</v>
      </c>
      <c r="D23" s="14" t="s">
        <v>3</v>
      </c>
      <c r="E23" s="1"/>
    </row>
    <row r="24" spans="1:5" x14ac:dyDescent="0.25">
      <c r="A24" s="1"/>
      <c r="B24" s="77" t="s">
        <v>141</v>
      </c>
      <c r="C24" s="12">
        <f>SUM(C21:C23)*(1+'Fane 15. Nøgletal'!C10)^4</f>
        <v>4043253.5100674191</v>
      </c>
      <c r="D24" s="13" t="s">
        <v>3</v>
      </c>
      <c r="E24" s="1"/>
    </row>
    <row r="25" spans="1:5" x14ac:dyDescent="0.25">
      <c r="A25" s="1"/>
      <c r="B25" s="1"/>
      <c r="C25" s="1"/>
      <c r="D25" s="1"/>
      <c r="E25" s="1"/>
    </row>
    <row r="26" spans="1:5" ht="15" customHeight="1" x14ac:dyDescent="0.25">
      <c r="A26" s="1"/>
      <c r="B26" s="110" t="s">
        <v>180</v>
      </c>
      <c r="C26" s="111"/>
      <c r="D26" s="112"/>
      <c r="E26" s="1"/>
    </row>
    <row r="27" spans="1:5" ht="14.25" customHeight="1" x14ac:dyDescent="0.25">
      <c r="A27" s="1"/>
      <c r="B27" s="68" t="s">
        <v>179</v>
      </c>
      <c r="C27" s="9">
        <v>3191444.2308858219</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-63828.884617716438</v>
      </c>
      <c r="D29" s="14" t="s">
        <v>3</v>
      </c>
      <c r="E29" s="1"/>
    </row>
    <row r="30" spans="1:5" x14ac:dyDescent="0.25">
      <c r="A30" s="1"/>
      <c r="B30" s="77" t="s">
        <v>181</v>
      </c>
      <c r="C30" s="12">
        <f>SUM(C27:C29)*(1+'Fane 15. Nøgletal'!C10)^5</f>
        <v>4311321.217784889</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lK22A8m480maePCUh+9Dp6HcZ4gh0ksTXtRNP3NSIgawZDI8u2lRuxCKqAfGKKTaTc8PgbbNRGpMbEj5L4cu7Q==" saltValue="IG8E2WTGUAJNmLE9GThwH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8" t="s">
        <v>117</v>
      </c>
      <c r="C3" s="108"/>
      <c r="D3" s="108"/>
      <c r="E3" s="108"/>
      <c r="F3" s="108"/>
      <c r="G3" s="1"/>
    </row>
    <row r="4" spans="1:7" ht="15" customHeight="1" x14ac:dyDescent="0.25">
      <c r="A4" s="1"/>
      <c r="B4" s="108"/>
      <c r="C4" s="108"/>
      <c r="D4" s="108"/>
      <c r="E4" s="108"/>
      <c r="F4" s="108"/>
      <c r="G4" s="1"/>
    </row>
    <row r="5" spans="1:7" x14ac:dyDescent="0.25">
      <c r="A5" s="1"/>
      <c r="B5" s="108"/>
      <c r="C5" s="108"/>
      <c r="D5" s="108"/>
      <c r="E5" s="108"/>
      <c r="F5" s="108"/>
      <c r="G5" s="1"/>
    </row>
    <row r="6" spans="1:7" x14ac:dyDescent="0.25">
      <c r="A6" s="1"/>
      <c r="B6" s="1"/>
      <c r="C6" s="1"/>
      <c r="D6" s="1"/>
      <c r="E6" s="1"/>
      <c r="F6" s="1"/>
      <c r="G6" s="1"/>
    </row>
    <row r="7" spans="1:7" x14ac:dyDescent="0.25">
      <c r="A7" s="1"/>
      <c r="B7" s="1"/>
      <c r="C7" s="1"/>
      <c r="D7" s="1"/>
      <c r="E7" s="1"/>
      <c r="F7" s="1"/>
      <c r="G7" s="1"/>
    </row>
    <row r="8" spans="1:7" x14ac:dyDescent="0.25">
      <c r="A8" s="1"/>
      <c r="B8" s="110" t="s">
        <v>66</v>
      </c>
      <c r="C8" s="111"/>
      <c r="D8" s="111"/>
      <c r="E8" s="111"/>
      <c r="F8" s="112"/>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wlFG5G9OZCL+ibmAoJinfamVPASqiTMNYAZbeDgucp3dk83839zGm/+QNre1pyRBukDlBMwZo1StQYzHAn5+Rg==" saltValue="lNQPJ10BmHEWrL1RCIfEu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8" t="s">
        <v>118</v>
      </c>
      <c r="C3" s="108"/>
      <c r="D3" s="108"/>
      <c r="E3" s="108"/>
      <c r="F3" s="108"/>
      <c r="G3" s="1"/>
    </row>
    <row r="4" spans="1:7" ht="15" customHeight="1" x14ac:dyDescent="0.25">
      <c r="A4" s="1"/>
      <c r="B4" s="108"/>
      <c r="C4" s="108"/>
      <c r="D4" s="108"/>
      <c r="E4" s="108"/>
      <c r="F4" s="108"/>
      <c r="G4" s="1"/>
    </row>
    <row r="5" spans="1:7" x14ac:dyDescent="0.25">
      <c r="A5" s="1"/>
      <c r="B5" s="108"/>
      <c r="C5" s="108"/>
      <c r="D5" s="108"/>
      <c r="E5" s="108"/>
      <c r="F5" s="108"/>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0" t="s">
        <v>183</v>
      </c>
      <c r="C8" s="111"/>
      <c r="D8" s="111"/>
      <c r="E8" s="111"/>
      <c r="F8" s="112"/>
      <c r="G8" s="1"/>
    </row>
    <row r="9" spans="1:7" x14ac:dyDescent="0.25">
      <c r="A9" s="1"/>
      <c r="B9" s="31" t="s">
        <v>18</v>
      </c>
      <c r="C9" s="130" t="s">
        <v>11</v>
      </c>
      <c r="D9" s="131"/>
      <c r="E9" s="130" t="s">
        <v>27</v>
      </c>
      <c r="F9" s="131"/>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9"/>
      <c r="C14" s="129"/>
      <c r="D14" s="129"/>
      <c r="E14" s="129"/>
      <c r="F14" s="129"/>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9"/>
      <c r="C21" s="129"/>
      <c r="D21" s="129"/>
      <c r="E21" s="129"/>
      <c r="F21" s="129"/>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9"/>
      <c r="C27" s="129"/>
      <c r="D27" s="129"/>
      <c r="E27" s="129"/>
      <c r="F27" s="129"/>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HqCY5ARKQwTQPgjc7qG+EjF9w9MhmObRZ3pr/mxJOPzRuuIM7x10DYqQ/vHb+u0Exncn3ZrUQ0mjzlQYSs4Tw==" saltValue="z2PUmJ9+kdmGNsBARX9h7g=="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155</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81753168.990215316</v>
      </c>
      <c r="D9" s="8" t="s">
        <v>3</v>
      </c>
      <c r="E9" s="1"/>
    </row>
    <row r="10" spans="1:5" ht="17.25" customHeight="1" x14ac:dyDescent="0.25">
      <c r="A10" s="1"/>
      <c r="B10" s="64" t="s">
        <v>35</v>
      </c>
      <c r="C10" s="7">
        <f>'Fane 11.1. Varige tillæg'!C20</f>
        <v>1172119.612</v>
      </c>
      <c r="D10" s="8" t="s">
        <v>3</v>
      </c>
      <c r="E10" s="1"/>
    </row>
    <row r="11" spans="1:5" ht="17.25" customHeight="1" x14ac:dyDescent="0.25">
      <c r="A11" s="1"/>
      <c r="B11" s="64" t="s">
        <v>36</v>
      </c>
      <c r="C11" s="9">
        <f>'Fane 11.1. Varige tillæg'!E20</f>
        <v>5569548.2761000004</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7052628.6353904279</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-650057.2480341437</v>
      </c>
      <c r="D18" s="8" t="s">
        <v>3</v>
      </c>
      <c r="E18" s="1"/>
    </row>
    <row r="19" spans="1:5" ht="17.25" customHeight="1" x14ac:dyDescent="0.25">
      <c r="A19" s="1"/>
      <c r="B19" s="64" t="s">
        <v>23</v>
      </c>
      <c r="C19" s="38">
        <f>-'Fane 4.2. Gen. krav - anlæg'!C17</f>
        <v>0</v>
      </c>
      <c r="D19" s="8" t="s">
        <v>3</v>
      </c>
      <c r="E19" s="43"/>
    </row>
    <row r="20" spans="1:5" ht="17.25" customHeight="1" x14ac:dyDescent="0.25">
      <c r="A20" s="1"/>
      <c r="B20" s="83" t="s">
        <v>21</v>
      </c>
      <c r="C20" s="10">
        <f>SUM(C9:C19)</f>
        <v>94897408.265671596</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2183425.1821585242</v>
      </c>
      <c r="D22" s="11" t="s">
        <v>3</v>
      </c>
      <c r="E22" s="1"/>
    </row>
    <row r="23" spans="1:5" ht="15" customHeight="1" x14ac:dyDescent="0.25">
      <c r="A23" s="1"/>
      <c r="B23" s="33" t="s">
        <v>42</v>
      </c>
      <c r="C23" s="28"/>
      <c r="D23" s="19"/>
      <c r="E23" s="1"/>
    </row>
    <row r="24" spans="1:5" ht="15" customHeight="1" x14ac:dyDescent="0.25">
      <c r="A24" s="1"/>
      <c r="B24" s="83" t="s">
        <v>42</v>
      </c>
      <c r="C24" s="10">
        <f>'Fane 12. Periodevise driftsomk.'!C12</f>
        <v>3812916.5617983202</v>
      </c>
      <c r="D24" s="11" t="s">
        <v>3</v>
      </c>
      <c r="E24" s="1"/>
    </row>
    <row r="25" spans="1:5" ht="15" customHeight="1" x14ac:dyDescent="0.25">
      <c r="A25" s="1"/>
      <c r="B25" s="41" t="s">
        <v>41</v>
      </c>
      <c r="C25" s="39"/>
      <c r="D25" s="40"/>
      <c r="E25" s="1"/>
    </row>
    <row r="26" spans="1:5" ht="15" customHeight="1" x14ac:dyDescent="0.25">
      <c r="A26" s="1"/>
      <c r="B26" s="64" t="s">
        <v>89</v>
      </c>
      <c r="C26" s="38">
        <f>'Fane 11.2. Engangstillæg'!C19</f>
        <v>11726989.46459966</v>
      </c>
      <c r="D26" s="8" t="s">
        <v>3</v>
      </c>
      <c r="E26" s="1"/>
    </row>
    <row r="27" spans="1:5" ht="15" customHeight="1" x14ac:dyDescent="0.25">
      <c r="A27" s="1"/>
      <c r="B27" s="64" t="s">
        <v>38</v>
      </c>
      <c r="C27" s="38">
        <f>'Fane 11.2. Engangstillæg'!E19</f>
        <v>3018387.0062257601</v>
      </c>
      <c r="D27" s="8" t="s">
        <v>3</v>
      </c>
      <c r="E27" s="1"/>
    </row>
    <row r="28" spans="1:5" ht="15" customHeight="1" x14ac:dyDescent="0.25">
      <c r="A28" s="1"/>
      <c r="B28" s="64" t="s">
        <v>92</v>
      </c>
      <c r="C28" s="38">
        <f>-C26*('Fane 15. Nøgletal'!C21+'Fane 5. Individuelt eff. krav'!C9)</f>
        <v>-234539.78929199319</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14510836.681533426</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-1774117.0098857693</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113630469.6812761</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D87MTWEVHQEcMxD/gyfG1ZJmNN9EZSwt2HNIMZOtbErsa8r8mzxtjgJrC7KgQCWDrKy82Nqp3oL1cbAwe7AlIg==" saltValue="qGBl8hh9KQfg4/+Er2Bfd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8" t="s">
        <v>119</v>
      </c>
      <c r="C3" s="108"/>
      <c r="D3" s="1"/>
    </row>
    <row r="4" spans="1:4" ht="15" customHeight="1" x14ac:dyDescent="0.25">
      <c r="A4" s="1"/>
      <c r="B4" s="108"/>
      <c r="C4" s="108"/>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9camfg22syjJrUKlxM1JPqqoMSPU+0HwnYlRhfSm+/1zcWhskRQvvIrl3dBp2xnyEThWUwD6h7pfxC4grxTCw==" saltValue="CCDXr/toqODPiV/QwqoLaQ=="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156</v>
      </c>
      <c r="C3" s="106"/>
      <c r="D3" s="106"/>
      <c r="E3" s="1"/>
    </row>
    <row r="4" spans="1:5" ht="15" customHeight="1" x14ac:dyDescent="0.25">
      <c r="A4" s="1"/>
      <c r="B4" s="106"/>
      <c r="C4" s="106"/>
      <c r="D4" s="106"/>
      <c r="E4" s="1"/>
    </row>
    <row r="5" spans="1:5" x14ac:dyDescent="0.25">
      <c r="A5" s="1"/>
      <c r="B5" s="107" t="s">
        <v>144</v>
      </c>
      <c r="C5" s="107"/>
      <c r="D5" s="107"/>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94897408.265671596</v>
      </c>
      <c r="D9" s="8" t="s">
        <v>3</v>
      </c>
      <c r="E9" s="1"/>
    </row>
    <row r="10" spans="1:5" ht="15" customHeight="1" x14ac:dyDescent="0.25">
      <c r="A10" s="1"/>
      <c r="B10" s="26" t="s">
        <v>19</v>
      </c>
      <c r="C10" s="7">
        <f>C9*'Fane 15. Nøgletal'!C10</f>
        <v>6291698.1680140262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-679292.92270723137</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100509813.51097839</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2328186.2717356342</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driftsomk.'!C18</f>
        <v>3791853.6153684887</v>
      </c>
      <c r="D18" s="11" t="s">
        <v>3</v>
      </c>
      <c r="E18" s="1"/>
    </row>
    <row r="19" spans="1:5" x14ac:dyDescent="0.25">
      <c r="A19" s="1"/>
      <c r="B19" s="33" t="s">
        <v>69</v>
      </c>
      <c r="C19" s="28"/>
      <c r="D19" s="19"/>
      <c r="E19" s="1"/>
    </row>
    <row r="20" spans="1:5" ht="15" customHeight="1" x14ac:dyDescent="0.25">
      <c r="A20" s="1"/>
      <c r="B20" s="31" t="s">
        <v>79</v>
      </c>
      <c r="C20" s="10">
        <f>'Fane 7. Kontrol af ØR2023'!C33</f>
        <v>-143328.84020739794</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106486524.55787511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NwN8CXJOkWGojablXDS5G2pKdWeTukqo2g5j5x46x6LKbHB0cHZ/Kt4f9NrpRQO5sz5SuBkiCWNGmVddP7lBKA==" saltValue="93CNpHZfR7KQzr+hVbyAU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157</v>
      </c>
      <c r="C3" s="106"/>
      <c r="D3" s="106"/>
      <c r="E3" s="1"/>
    </row>
    <row r="4" spans="1:5" ht="15" customHeight="1" x14ac:dyDescent="0.25">
      <c r="A4" s="1"/>
      <c r="B4" s="106"/>
      <c r="C4" s="106"/>
      <c r="D4" s="106"/>
      <c r="E4" s="1"/>
    </row>
    <row r="5" spans="1:5" x14ac:dyDescent="0.25">
      <c r="A5" s="1"/>
      <c r="B5" s="107" t="s">
        <v>144</v>
      </c>
      <c r="C5" s="107"/>
      <c r="D5" s="107"/>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100509813.51097839</v>
      </c>
      <c r="D9" s="8" t="s">
        <v>3</v>
      </c>
      <c r="E9" s="1"/>
    </row>
    <row r="10" spans="1:5" ht="15" customHeight="1" x14ac:dyDescent="0.25">
      <c r="A10" s="1"/>
      <c r="B10" s="26" t="s">
        <v>19</v>
      </c>
      <c r="C10" s="7">
        <f>SUM(C9:C9)*'Fane 15. Nøgletal'!C10</f>
        <v>6663800.6357778665</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-709843.44261306641</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106463770.70414318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2482545.0215517068</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driftsomk.'!C24</f>
        <v>4043253.5100674191</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-143328.84020739794</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112846240.39555492</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oqZ4RGPvLkhPeF4iOiT9GtTzKluAdKU2Zqjd+9+Aj2dapGmBelr595TZUQu5Nr0DKHskpPlu7gzOAMRbxIShA==" saltValue="123GJgs51hmzJeNA1bYRX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158</v>
      </c>
      <c r="C3" s="106"/>
      <c r="D3" s="106"/>
      <c r="E3" s="1"/>
    </row>
    <row r="4" spans="1:5" ht="15" customHeight="1" x14ac:dyDescent="0.25">
      <c r="A4" s="1"/>
      <c r="B4" s="106"/>
      <c r="C4" s="106"/>
      <c r="D4" s="106"/>
      <c r="E4" s="1"/>
    </row>
    <row r="5" spans="1:5" x14ac:dyDescent="0.25">
      <c r="A5" s="1"/>
      <c r="B5" s="107" t="s">
        <v>144</v>
      </c>
      <c r="C5" s="107"/>
      <c r="D5" s="107"/>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106463770.70414318</v>
      </c>
      <c r="D9" s="8" t="s">
        <v>3</v>
      </c>
      <c r="E9" s="1"/>
    </row>
    <row r="10" spans="1:5" ht="15" customHeight="1" x14ac:dyDescent="0.25">
      <c r="A10" s="1"/>
      <c r="B10" s="26" t="s">
        <v>19</v>
      </c>
      <c r="C10" s="7">
        <f>SUM(C9:C9)*'Fane 15. Nøgletal'!C10</f>
        <v>7058547.997684693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-741767.94160114648</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112780550.76022673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2647137.7564805853</v>
      </c>
      <c r="D16" s="11" t="s">
        <v>3</v>
      </c>
      <c r="E16" s="1"/>
    </row>
    <row r="17" spans="1:5" ht="15" customHeight="1" x14ac:dyDescent="0.25">
      <c r="A17" s="1"/>
      <c r="B17" s="33" t="s">
        <v>42</v>
      </c>
      <c r="C17" s="28"/>
      <c r="D17" s="19"/>
      <c r="E17" s="1"/>
    </row>
    <row r="18" spans="1:5" ht="15" customHeight="1" x14ac:dyDescent="0.25">
      <c r="A18" s="1"/>
      <c r="B18" s="83" t="s">
        <v>42</v>
      </c>
      <c r="C18" s="10">
        <f>'Fane 12. Periodevise driftsomk.'!C30</f>
        <v>4311321.217784889</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119739009.73449221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1PNai1iWorNzxnzkal68V14opp4FeMmNp/w4tgHdhoTYpUJzIfwr3sqqNwPoCFW5t1W/VhZBRcKAbGocdGlVA==" saltValue="RRASmqNXYFTF4vfwZuwK/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8" t="s">
        <v>161</v>
      </c>
      <c r="C3" s="108"/>
      <c r="D3" s="108"/>
      <c r="E3" s="1"/>
    </row>
    <row r="4" spans="1:5" ht="15" customHeight="1" x14ac:dyDescent="0.25">
      <c r="A4" s="1"/>
      <c r="B4" s="108"/>
      <c r="C4" s="108"/>
      <c r="D4" s="108"/>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74372384.223703891</v>
      </c>
      <c r="D9" s="8" t="s">
        <v>3</v>
      </c>
      <c r="E9" s="1"/>
    </row>
    <row r="10" spans="1:5" ht="15" customHeight="1" x14ac:dyDescent="0.25">
      <c r="A10" s="1"/>
      <c r="B10" s="64" t="s">
        <v>35</v>
      </c>
      <c r="C10" s="7">
        <v>1750923.02</v>
      </c>
      <c r="D10" s="8" t="s">
        <v>3</v>
      </c>
      <c r="E10" s="1"/>
    </row>
    <row r="11" spans="1:5" ht="15" customHeight="1" x14ac:dyDescent="0.25">
      <c r="A11" s="1"/>
      <c r="B11" s="64" t="s">
        <v>36</v>
      </c>
      <c r="C11" s="9">
        <v>64056.854399999997</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6155939.0191267943</v>
      </c>
      <c r="D16" s="8" t="s">
        <v>3</v>
      </c>
      <c r="E16" s="1"/>
    </row>
    <row r="17" spans="1:5" ht="15" customHeight="1" x14ac:dyDescent="0.25">
      <c r="A17" s="1"/>
      <c r="B17" s="64" t="s">
        <v>10</v>
      </c>
      <c r="C17" s="38">
        <v>0</v>
      </c>
      <c r="D17" s="8" t="s">
        <v>3</v>
      </c>
      <c r="E17" s="1"/>
    </row>
    <row r="18" spans="1:5" ht="15" customHeight="1" x14ac:dyDescent="0.25">
      <c r="A18" s="1"/>
      <c r="B18" s="64" t="s">
        <v>22</v>
      </c>
      <c r="C18" s="38">
        <v>-590134.12701535504</v>
      </c>
      <c r="D18" s="8" t="s">
        <v>3</v>
      </c>
      <c r="E18" s="1"/>
    </row>
    <row r="19" spans="1:5" ht="15" customHeight="1" x14ac:dyDescent="0.25">
      <c r="A19" s="1"/>
      <c r="B19" s="64" t="s">
        <v>23</v>
      </c>
      <c r="C19" s="38">
        <v>0</v>
      </c>
      <c r="D19" s="8" t="s">
        <v>3</v>
      </c>
      <c r="E19" s="43"/>
    </row>
    <row r="20" spans="1:5" ht="15" customHeight="1" x14ac:dyDescent="0.25">
      <c r="A20" s="1"/>
      <c r="B20" s="83" t="s">
        <v>21</v>
      </c>
      <c r="C20" s="10">
        <v>81753168.990215316</v>
      </c>
      <c r="D20" s="11" t="s">
        <v>3</v>
      </c>
      <c r="E20" s="1"/>
    </row>
    <row r="21" spans="1:5" ht="15" customHeight="1" x14ac:dyDescent="0.25">
      <c r="A21" s="1"/>
      <c r="B21" s="33" t="s">
        <v>12</v>
      </c>
      <c r="C21" s="28"/>
      <c r="D21" s="19"/>
      <c r="E21" s="1"/>
    </row>
    <row r="22" spans="1:5" ht="15" customHeight="1" x14ac:dyDescent="0.25">
      <c r="A22" s="1"/>
      <c r="B22" s="31" t="s">
        <v>12</v>
      </c>
      <c r="C22" s="10">
        <v>3088610.3887788798</v>
      </c>
      <c r="D22" s="11" t="s">
        <v>3</v>
      </c>
      <c r="E22" s="1"/>
    </row>
    <row r="23" spans="1:5" ht="15" customHeight="1" x14ac:dyDescent="0.25">
      <c r="A23" s="1"/>
      <c r="B23" s="33" t="s">
        <v>42</v>
      </c>
      <c r="C23" s="28"/>
      <c r="D23" s="19"/>
      <c r="E23" s="1"/>
    </row>
    <row r="24" spans="1:5" ht="15" customHeight="1" x14ac:dyDescent="0.25">
      <c r="A24" s="1"/>
      <c r="B24" s="83" t="s">
        <v>42</v>
      </c>
      <c r="C24" s="10">
        <v>3527865.0645802342</v>
      </c>
      <c r="D24" s="11" t="s">
        <v>3</v>
      </c>
      <c r="E24" s="1"/>
    </row>
    <row r="25" spans="1:5" x14ac:dyDescent="0.25">
      <c r="A25" s="1"/>
      <c r="B25" s="41" t="s">
        <v>41</v>
      </c>
      <c r="C25" s="39"/>
      <c r="D25" s="40"/>
      <c r="E25" s="1"/>
    </row>
    <row r="26" spans="1:5" ht="15" customHeight="1" x14ac:dyDescent="0.25">
      <c r="A26" s="1"/>
      <c r="B26" s="64" t="s">
        <v>89</v>
      </c>
      <c r="C26" s="71">
        <v>11292175.74124416</v>
      </c>
      <c r="D26" s="8" t="s">
        <v>3</v>
      </c>
      <c r="E26" s="1"/>
    </row>
    <row r="27" spans="1:5" ht="15" customHeight="1" x14ac:dyDescent="0.25">
      <c r="A27" s="1"/>
      <c r="B27" s="64" t="s">
        <v>38</v>
      </c>
      <c r="C27" s="72">
        <v>0</v>
      </c>
      <c r="D27" s="8" t="s">
        <v>3</v>
      </c>
      <c r="E27" s="1"/>
    </row>
    <row r="28" spans="1:5" ht="15" customHeight="1" x14ac:dyDescent="0.25">
      <c r="A28" s="1"/>
      <c r="B28" s="64" t="s">
        <v>92</v>
      </c>
      <c r="C28" s="71">
        <v>-225843.5148248832</v>
      </c>
      <c r="D28" s="8" t="s">
        <v>3</v>
      </c>
      <c r="E28" s="1"/>
    </row>
    <row r="29" spans="1:5" ht="15" customHeight="1" x14ac:dyDescent="0.25">
      <c r="A29" s="1"/>
      <c r="B29" s="64" t="s">
        <v>93</v>
      </c>
      <c r="C29" s="72">
        <v>0</v>
      </c>
      <c r="D29" s="8" t="s">
        <v>3</v>
      </c>
      <c r="E29" s="1"/>
    </row>
    <row r="30" spans="1:5" ht="15" customHeight="1" x14ac:dyDescent="0.25">
      <c r="A30" s="1"/>
      <c r="B30" s="67" t="s">
        <v>43</v>
      </c>
      <c r="C30" s="10">
        <v>11066332.226419276</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99435976.669993699</v>
      </c>
      <c r="D37" s="30" t="s">
        <v>3</v>
      </c>
      <c r="E37" s="1"/>
    </row>
    <row r="38" spans="1:5" ht="30" customHeight="1" x14ac:dyDescent="0.25">
      <c r="A38" s="1"/>
      <c r="B38" s="109" t="s">
        <v>223</v>
      </c>
      <c r="C38" s="109"/>
      <c r="D38" s="109"/>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UqAAHyDET2QbI+OJvNOiRJ2SEQx9za0yGaDvVSIMv/itC6PtK3/glacx70IDAfQY1DIS9vj8s7MFDooGjdaZqw==" saltValue="iIa8gSEUo674LHCCnAX3rQ=="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8" t="s">
        <v>56</v>
      </c>
      <c r="C3" s="108"/>
      <c r="D3" s="108"/>
      <c r="E3" s="1"/>
    </row>
    <row r="4" spans="1:5" ht="15" customHeight="1" x14ac:dyDescent="0.25">
      <c r="A4" s="1"/>
      <c r="B4" s="108"/>
      <c r="C4" s="108"/>
      <c r="D4" s="108"/>
      <c r="E4" s="1"/>
    </row>
    <row r="5" spans="1:5" ht="15" customHeight="1" x14ac:dyDescent="0.25">
      <c r="A5" s="1"/>
      <c r="B5" s="108"/>
      <c r="C5" s="108"/>
      <c r="D5" s="108"/>
      <c r="E5" s="1"/>
    </row>
    <row r="6" spans="1:5" ht="15" customHeight="1" x14ac:dyDescent="0.25">
      <c r="A6" s="1"/>
      <c r="B6" s="76"/>
      <c r="C6" s="76"/>
      <c r="D6" s="76"/>
      <c r="E6" s="1"/>
    </row>
    <row r="7" spans="1:5" x14ac:dyDescent="0.25">
      <c r="A7" s="1"/>
      <c r="B7" s="1"/>
      <c r="C7" s="1"/>
      <c r="D7" s="1"/>
      <c r="E7" s="1"/>
    </row>
    <row r="8" spans="1:5" x14ac:dyDescent="0.25">
      <c r="A8" s="1"/>
      <c r="B8" s="110" t="s">
        <v>123</v>
      </c>
      <c r="C8" s="111"/>
      <c r="D8" s="112"/>
      <c r="E8" s="1"/>
    </row>
    <row r="9" spans="1:5" x14ac:dyDescent="0.25">
      <c r="A9" s="1"/>
      <c r="B9" s="65" t="s">
        <v>88</v>
      </c>
      <c r="C9" s="23">
        <v>27614308.750751749</v>
      </c>
      <c r="D9" s="14" t="s">
        <v>3</v>
      </c>
      <c r="E9" s="1"/>
    </row>
    <row r="10" spans="1:5" x14ac:dyDescent="0.25">
      <c r="A10" s="1"/>
      <c r="B10" s="65" t="s">
        <v>125</v>
      </c>
      <c r="C10" s="23">
        <f>('Fane 3. Omkostninger i ØR2024'!C10+'Fane 3. Omkostninger i ØR2024'!C12+'Fane 3. Omkostninger i ØR2024'!C14)*(1+'Fane 15. Nøgletal'!C9)</f>
        <v>1892397.600016</v>
      </c>
      <c r="D10" s="14" t="s">
        <v>3</v>
      </c>
      <c r="E10" s="1"/>
    </row>
    <row r="11" spans="1:5" x14ac:dyDescent="0.25">
      <c r="A11" s="1"/>
      <c r="B11" s="65" t="s">
        <v>131</v>
      </c>
      <c r="C11" s="23">
        <f>C9*'Fane 15. Nøgletal'!C21+C10*'Fane 15. Nøgletal'!C21</f>
        <v>590134.12701535493</v>
      </c>
      <c r="D11" s="14" t="s">
        <v>3</v>
      </c>
      <c r="E11" s="1"/>
    </row>
    <row r="12" spans="1:5" x14ac:dyDescent="0.25">
      <c r="A12" s="1"/>
      <c r="B12" s="33"/>
      <c r="C12" s="28"/>
      <c r="D12" s="19"/>
      <c r="E12" s="1"/>
    </row>
    <row r="13" spans="1:5" x14ac:dyDescent="0.25">
      <c r="A13" s="1"/>
      <c r="B13" s="1"/>
      <c r="C13" s="1"/>
      <c r="D13" s="1"/>
      <c r="E13" s="1"/>
    </row>
    <row r="14" spans="1:5" x14ac:dyDescent="0.25">
      <c r="A14" s="1"/>
      <c r="B14" s="110" t="s">
        <v>124</v>
      </c>
      <c r="C14" s="111"/>
      <c r="D14" s="112"/>
      <c r="E14" s="1"/>
    </row>
    <row r="15" spans="1:5" x14ac:dyDescent="0.25">
      <c r="A15" s="1"/>
      <c r="B15" s="65" t="s">
        <v>133</v>
      </c>
      <c r="C15" s="23">
        <f>(C9+C10-C11)*(1+'Fane 15. Nøgletal'!C9)</f>
        <v>31253031.259431586</v>
      </c>
      <c r="D15" s="14" t="s">
        <v>3</v>
      </c>
      <c r="E15" s="1"/>
    </row>
    <row r="16" spans="1:5" x14ac:dyDescent="0.25">
      <c r="A16" s="1"/>
      <c r="B16" s="65" t="s">
        <v>184</v>
      </c>
      <c r="C16" s="23">
        <f>('Fane 2.1. Økonomisk ramme 2025'!C10+'Fane 2.1. Økonomisk ramme 2025'!C12+'Fane 2.1. Økonomisk ramme 2025'!C14)*(1+'Fane 15. Nøgletal'!C10)</f>
        <v>1249831.1422756</v>
      </c>
      <c r="D16" s="14" t="s">
        <v>3</v>
      </c>
      <c r="E16" s="1"/>
    </row>
    <row r="17" spans="1:5" x14ac:dyDescent="0.25">
      <c r="A17" s="1"/>
      <c r="B17" s="65" t="s">
        <v>132</v>
      </c>
      <c r="C17" s="23">
        <f>C15*'Fane 15. Nøgletal'!C21+C16*'Fane 15. Nøgletal'!C21</f>
        <v>650057.2480341437</v>
      </c>
      <c r="D17" s="14" t="s">
        <v>3</v>
      </c>
      <c r="E17" s="1"/>
    </row>
    <row r="18" spans="1:5" x14ac:dyDescent="0.25">
      <c r="A18" s="1"/>
      <c r="B18" s="33"/>
      <c r="C18" s="28"/>
      <c r="D18" s="19"/>
      <c r="E18" s="1"/>
    </row>
    <row r="19" spans="1:5" x14ac:dyDescent="0.25">
      <c r="A19" s="1"/>
      <c r="B19" s="1"/>
      <c r="C19" s="63"/>
      <c r="D19" s="1"/>
      <c r="E19" s="1"/>
    </row>
    <row r="20" spans="1:5" x14ac:dyDescent="0.25">
      <c r="A20" s="1"/>
      <c r="B20" s="110" t="s">
        <v>145</v>
      </c>
      <c r="C20" s="111"/>
      <c r="D20" s="112"/>
      <c r="E20" s="1"/>
    </row>
    <row r="21" spans="1:5" x14ac:dyDescent="0.25">
      <c r="A21" s="1"/>
      <c r="B21" s="65" t="s">
        <v>189</v>
      </c>
      <c r="C21" s="23">
        <f>(C15+C16-C17)*(1+'Fane 15. Nøgletal'!C10)</f>
        <v>33964646.135361567</v>
      </c>
      <c r="D21" s="14" t="s">
        <v>3</v>
      </c>
      <c r="E21" s="1"/>
    </row>
    <row r="22" spans="1:5" x14ac:dyDescent="0.25">
      <c r="A22" s="1"/>
      <c r="B22" s="65" t="s">
        <v>196</v>
      </c>
      <c r="C22" s="23">
        <f>C21*'Fane 15. Nøgletal'!C21</f>
        <v>679292.92270723137</v>
      </c>
      <c r="D22" s="14" t="s">
        <v>3</v>
      </c>
      <c r="E22" s="1"/>
    </row>
    <row r="23" spans="1:5" x14ac:dyDescent="0.25">
      <c r="A23" s="1"/>
      <c r="B23" s="33"/>
      <c r="C23" s="28"/>
      <c r="D23" s="19"/>
      <c r="E23" s="1"/>
    </row>
    <row r="24" spans="1:5" x14ac:dyDescent="0.25">
      <c r="A24" s="1"/>
      <c r="B24" s="1"/>
      <c r="C24" s="1"/>
      <c r="D24" s="1"/>
      <c r="E24" s="1"/>
    </row>
    <row r="25" spans="1:5" x14ac:dyDescent="0.25">
      <c r="A25" s="1"/>
      <c r="B25" s="110" t="s">
        <v>187</v>
      </c>
      <c r="C25" s="111"/>
      <c r="D25" s="112"/>
      <c r="E25" s="1"/>
    </row>
    <row r="26" spans="1:5" x14ac:dyDescent="0.25">
      <c r="A26" s="1"/>
      <c r="B26" s="65" t="s">
        <v>190</v>
      </c>
      <c r="C26" s="23">
        <f>(C21-C22)*(1+'Fane 15. Nøgletal'!C10)</f>
        <v>35492172.130653322</v>
      </c>
      <c r="D26" s="14" t="s">
        <v>3</v>
      </c>
      <c r="E26" s="1"/>
    </row>
    <row r="27" spans="1:5" x14ac:dyDescent="0.25">
      <c r="A27" s="1"/>
      <c r="B27" s="65" t="s">
        <v>194</v>
      </c>
      <c r="C27" s="23">
        <f>C26*'Fane 15. Nøgletal'!C21</f>
        <v>709843.44261306641</v>
      </c>
      <c r="D27" s="14" t="s">
        <v>3</v>
      </c>
      <c r="E27" s="1"/>
    </row>
    <row r="28" spans="1:5" x14ac:dyDescent="0.25">
      <c r="A28" s="1"/>
      <c r="B28" s="33"/>
      <c r="C28" s="28"/>
      <c r="D28" s="19"/>
      <c r="E28" s="1"/>
    </row>
    <row r="29" spans="1:5" x14ac:dyDescent="0.25">
      <c r="A29" s="1"/>
      <c r="B29" s="1"/>
      <c r="C29" s="1"/>
      <c r="D29" s="1"/>
      <c r="E29" s="1"/>
    </row>
    <row r="30" spans="1:5" x14ac:dyDescent="0.25">
      <c r="A30" s="1"/>
      <c r="B30" s="110" t="s">
        <v>188</v>
      </c>
      <c r="C30" s="111"/>
      <c r="D30" s="112"/>
      <c r="E30" s="1"/>
    </row>
    <row r="31" spans="1:5" x14ac:dyDescent="0.25">
      <c r="A31" s="1"/>
      <c r="B31" s="65" t="s">
        <v>191</v>
      </c>
      <c r="C31" s="23">
        <f>(C26-C27)*(1+'Fane 15. Nøgletal'!C10)</f>
        <v>37088397.080057323</v>
      </c>
      <c r="D31" s="14" t="s">
        <v>3</v>
      </c>
      <c r="E31" s="1"/>
    </row>
    <row r="32" spans="1:5" x14ac:dyDescent="0.25">
      <c r="A32" s="1"/>
      <c r="B32" s="65" t="s">
        <v>195</v>
      </c>
      <c r="C32" s="23">
        <f>C31*'Fane 15. Nøgletal'!C21</f>
        <v>741767.94160114648</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A1HxcTmvhG+ElQ9Dd2ZUkC3/Xao6Wrtao1UZvpNsJQsO+W392oEOtPr9Hw4OZSBMQmI/0jdQgmxNNSr6NKyKw==" saltValue="ZgGIM08VszeyulBJN27Yk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3" t="s">
        <v>57</v>
      </c>
      <c r="C3" s="113"/>
      <c r="D3" s="113"/>
      <c r="E3" s="1"/>
    </row>
    <row r="4" spans="1:5" ht="15" customHeight="1" x14ac:dyDescent="0.25">
      <c r="A4" s="1"/>
      <c r="B4" s="113"/>
      <c r="C4" s="113"/>
      <c r="D4" s="113"/>
      <c r="E4" s="1"/>
    </row>
    <row r="5" spans="1:5" ht="15" customHeight="1" x14ac:dyDescent="0.25">
      <c r="A5" s="1"/>
      <c r="B5" s="113"/>
      <c r="C5" s="113"/>
      <c r="D5" s="113"/>
      <c r="E5" s="1"/>
    </row>
    <row r="6" spans="1:5" ht="15" customHeight="1" x14ac:dyDescent="0.35">
      <c r="A6" s="1"/>
      <c r="B6" s="69"/>
      <c r="C6" s="69"/>
      <c r="D6" s="69"/>
      <c r="E6" s="1"/>
    </row>
    <row r="7" spans="1:5" x14ac:dyDescent="0.25">
      <c r="A7" s="1"/>
      <c r="B7" s="1"/>
      <c r="C7" s="1"/>
      <c r="D7" s="1"/>
      <c r="E7" s="1"/>
    </row>
    <row r="8" spans="1:5" x14ac:dyDescent="0.25">
      <c r="A8" s="1"/>
      <c r="B8" s="110" t="s">
        <v>147</v>
      </c>
      <c r="C8" s="111"/>
      <c r="D8" s="112"/>
      <c r="E8" s="1"/>
    </row>
    <row r="9" spans="1:5" x14ac:dyDescent="0.25">
      <c r="A9" s="1"/>
      <c r="B9" s="65" t="s">
        <v>134</v>
      </c>
      <c r="C9" s="23">
        <v>54901271.393496193</v>
      </c>
      <c r="D9" s="14" t="s">
        <v>3</v>
      </c>
      <c r="E9" s="1"/>
    </row>
    <row r="10" spans="1:5" x14ac:dyDescent="0.25">
      <c r="A10" s="1"/>
      <c r="B10" s="65" t="s">
        <v>126</v>
      </c>
      <c r="C10" s="23">
        <f>('Fane 3. Omkostninger i ØR2024'!C11+'Fane 3. Omkostninger i ØR2024'!C13+'Fane 3. Omkostninger i ØR2024'!C15)*(1+'Fane 15. Nøgletal'!C9)</f>
        <v>69232.648235519999</v>
      </c>
      <c r="D10" s="14" t="s">
        <v>3</v>
      </c>
      <c r="E10" s="1"/>
    </row>
    <row r="11" spans="1:5" x14ac:dyDescent="0.25">
      <c r="A11" s="1"/>
      <c r="B11" s="65" t="s">
        <v>135</v>
      </c>
      <c r="C11" s="84">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10" t="s">
        <v>146</v>
      </c>
      <c r="C14" s="111"/>
      <c r="D14" s="112"/>
      <c r="E14" s="1"/>
    </row>
    <row r="15" spans="1:5" x14ac:dyDescent="0.25">
      <c r="A15" s="1"/>
      <c r="B15" s="65" t="s">
        <v>136</v>
      </c>
      <c r="C15" s="23">
        <f>(C9+C10-C11)*(1+'Fane 15. Nøgletal'!C9)</f>
        <v>59412120.76830364</v>
      </c>
      <c r="D15" s="14" t="s">
        <v>3</v>
      </c>
      <c r="E15" s="1"/>
    </row>
    <row r="16" spans="1:5" x14ac:dyDescent="0.25">
      <c r="A16" s="1"/>
      <c r="B16" s="65" t="s">
        <v>185</v>
      </c>
      <c r="C16" s="23">
        <f>('Fane 2.1. Økonomisk ramme 2025'!C11+'Fane 2.1. Økonomisk ramme 2025'!C13+'Fane 2.1. Økonomisk ramme 2025'!C15)*(1+'Fane 15. Nøgletal'!C10)</f>
        <v>5938809.3268054305</v>
      </c>
      <c r="D16" s="14" t="s">
        <v>3</v>
      </c>
      <c r="E16" s="1"/>
    </row>
    <row r="17" spans="1:5" x14ac:dyDescent="0.25">
      <c r="A17" s="1"/>
      <c r="B17" s="65" t="s">
        <v>137</v>
      </c>
      <c r="C17" s="84">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10" t="s">
        <v>82</v>
      </c>
      <c r="C20" s="111"/>
      <c r="D20" s="112"/>
      <c r="E20" s="1"/>
    </row>
    <row r="21" spans="1:5" x14ac:dyDescent="0.25">
      <c r="A21" s="1"/>
      <c r="B21" s="65" t="s">
        <v>192</v>
      </c>
      <c r="C21" s="23">
        <f>(C15+C16-C17)*(1+'Fane 15. Nøgletal'!C10)</f>
        <v>69683696.760414794</v>
      </c>
      <c r="D21" s="14" t="s">
        <v>3</v>
      </c>
      <c r="E21" s="1"/>
    </row>
    <row r="22" spans="1:5" x14ac:dyDescent="0.25">
      <c r="A22" s="1"/>
      <c r="B22" s="65" t="s">
        <v>197</v>
      </c>
      <c r="C22" s="84">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10" t="s">
        <v>138</v>
      </c>
      <c r="C25" s="111"/>
      <c r="D25" s="112"/>
      <c r="E25" s="1"/>
    </row>
    <row r="26" spans="1:5" x14ac:dyDescent="0.25">
      <c r="A26" s="1"/>
      <c r="B26" s="65" t="s">
        <v>193</v>
      </c>
      <c r="C26" s="23">
        <f>(C21-C22)*(1+'Fane 15. Nøgletal'!C10)</f>
        <v>74303725.855630293</v>
      </c>
      <c r="D26" s="14" t="s">
        <v>3</v>
      </c>
      <c r="E26" s="1"/>
    </row>
    <row r="27" spans="1:5" x14ac:dyDescent="0.25">
      <c r="A27" s="1"/>
      <c r="B27" s="65" t="s">
        <v>198</v>
      </c>
      <c r="C27" s="84">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10" t="s">
        <v>163</v>
      </c>
      <c r="C30" s="111"/>
      <c r="D30" s="112"/>
      <c r="E30" s="1"/>
    </row>
    <row r="31" spans="1:5" x14ac:dyDescent="0.25">
      <c r="A31" s="1"/>
      <c r="B31" s="65" t="s">
        <v>200</v>
      </c>
      <c r="C31" s="23">
        <f>(C26-C27)*(1+'Fane 15. Nøgletal'!C10)</f>
        <v>79230062.879858583</v>
      </c>
      <c r="D31" s="14" t="s">
        <v>3</v>
      </c>
      <c r="E31" s="1"/>
    </row>
    <row r="32" spans="1:5" x14ac:dyDescent="0.25">
      <c r="A32" s="1"/>
      <c r="B32" s="65" t="s">
        <v>199</v>
      </c>
      <c r="C32" s="84">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S7pPG9Dtj3/eLWUhpqepcxDWQhtqEfA48ROuO0gZcIvANK9kC8U7mostJ9tUMZCvpawM3JcVXySOZ7WTkZUweg==" saltValue="HW55zkX2n8GNn2WYd1dk8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44</v>
      </c>
      <c r="C3" s="106"/>
      <c r="D3" s="1"/>
    </row>
    <row r="4" spans="1:4" ht="15" customHeight="1" x14ac:dyDescent="0.25">
      <c r="A4" s="1"/>
      <c r="B4" s="106"/>
      <c r="C4" s="106"/>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10" t="s">
        <v>10</v>
      </c>
      <c r="C8" s="112"/>
      <c r="D8" s="1"/>
    </row>
    <row r="9" spans="1:4" x14ac:dyDescent="0.25">
      <c r="A9" s="1"/>
      <c r="B9" s="65" t="s">
        <v>164</v>
      </c>
      <c r="C9" s="22">
        <v>0</v>
      </c>
      <c r="D9" s="1"/>
    </row>
    <row r="10" spans="1:4" x14ac:dyDescent="0.25">
      <c r="A10" s="1"/>
      <c r="B10" s="33"/>
      <c r="C10" s="19"/>
      <c r="D10" s="1"/>
    </row>
    <row r="11" spans="1:4" x14ac:dyDescent="0.25">
      <c r="A11" s="1"/>
      <c r="B11" s="114" t="s">
        <v>218</v>
      </c>
      <c r="C11" s="115"/>
      <c r="D11" s="1"/>
    </row>
    <row r="12" spans="1:4" x14ac:dyDescent="0.25">
      <c r="A12" s="1"/>
      <c r="B12" s="116"/>
      <c r="C12" s="117"/>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ufjFyf4y78Bph03dEYbS8soLGr4VjkFmOzJ39utsUdsUnZa6mISkqUoQWLxENPwi179c3ECq5xlllviXbhS7ZQ==" saltValue="6RfHY3jBvdgX9+awOxUNG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2024-08-28T06:47:32Z</dcterms:modified>
</cp:coreProperties>
</file>