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Novafos Spildevand Ballerup AS (S001)\ØR2027\"/>
    </mc:Choice>
  </mc:AlternateContent>
  <xr:revisionPtr revIDLastSave="0" documentId="13_ncr:1_{57ECBBEB-2286-45BD-90AA-36CC27160AD5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tillæg'!$A$1:$G$32</definedName>
    <definedName name="BlåBlok_53">'5.3. Engangstillæg'!$A$1:$G$18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Engangstillæg'!$B$8:$F$16</definedName>
    <definedName name="EngTillæg_Tabel_Værdi">'5.3. Engangstillæg'!$B$16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tillæg'!$A$1:$G$32</definedName>
    <definedName name="_xlnm.Print_Area" localSheetId="8">'5.3. Engangstillæg'!$A$1:$G$18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tillæg'!$B$8:$F$30</definedName>
    <definedName name="VarigeTillæg_Tabel_KS">'5.2. Varige tillæg'!$B$28</definedName>
    <definedName name="VarigeTillæg_Tabel_SletSmå">'5.2. Varige tillæg'!$B$27:$F$27</definedName>
    <definedName name="VarigeTillæg_Tabel_Værdi">'5.2. Varige tillæg'!$B$26</definedName>
    <definedName name="VarigeTillæg_Tabel_Værdi_korr">'5.2. Varige tillæg'!$B$30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0" l="1"/>
  <c r="C16" i="10"/>
  <c r="C23" i="4"/>
  <c r="C10" i="4" l="1"/>
  <c r="C10" i="6" l="1"/>
  <c r="C17" i="5" l="1"/>
  <c r="C24" i="5" l="1"/>
  <c r="C9" i="3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6" i="9"/>
  <c r="E27" i="9" s="1"/>
  <c r="C26" i="9"/>
  <c r="C28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2" i="11" l="1"/>
  <c r="C19" i="3" s="1"/>
  <c r="C12" i="3"/>
  <c r="C20" i="7"/>
  <c r="C11" i="4" s="1"/>
  <c r="C12" i="4" s="1"/>
  <c r="C15" i="4" s="1"/>
  <c r="C19" i="4" s="1"/>
  <c r="C24" i="4" s="1"/>
  <c r="C16" i="12"/>
  <c r="C20" i="3" s="1"/>
  <c r="C13" i="3"/>
  <c r="C27" i="9"/>
  <c r="C29" i="9" s="1"/>
  <c r="C30" i="9" s="1"/>
  <c r="E28" i="9"/>
  <c r="E29" i="9" s="1"/>
  <c r="E30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<sst xmlns="http://schemas.openxmlformats.org/spreadsheetml/2006/main" count="367" uniqueCount="163">
  <si>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</si>
  <si>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</si>
  <si>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</si>
  <si>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</si>
  <si>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</si>
  <si>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</si>
  <si>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</si>
  <si>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</si>
  <si>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</si>
  <si>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</si>
  <si>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</si>
  <si>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</si>
  <si>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</si>
  <si>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</si>
  <si>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</si>
  <si>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</si>
  <si>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</si>
  <si>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</si>
  <si>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</si>
  <si>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</si>
  <si>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</si>
  <si>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</si>
  <si>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</si>
  <si>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</si>
  <si>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</si>
  <si>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</si>
  <si>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</si>
  <si>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</si>
  <si>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</si>
  <si>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</si>
  <si>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</si>
  <si>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</si>
  <si>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</si>
  <si>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</si>
  <si>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</si>
  <si>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</si>
  <si>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</si>
  <si>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</si>
  <si>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</si>
  <si>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</si>
  <si>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</si>
  <si>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</si>
  <si>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</si>
  <si>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</si>
  <si>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</si>
  <si>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</si>
  <si>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</si>
  <si>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</si>
  <si>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</si>
  <si>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</si>
  <si>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</si>
  <si>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</si>
  <si>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</si>
  <si>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</si>
  <si>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</si>
  <si>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</si>
  <si>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</si>
  <si>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</si>
  <si>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</si>
  <si>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</si>
  <si>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</si>
  <si>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</si>
  <si>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</si>
  <si>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</si>
  <si>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</si>
  <si>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</si>
  <si>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</si>
  <si>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</si>
  <si>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</si>
  <si>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</si>
  <si>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</si>
  <si>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</si>
  <si>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</si>
  <si>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</si>
  <si>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</si>
  <si>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</si>
  <si>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</si>
  <si>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</si>
  <si>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</si>
  <si>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</si>
  <si>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</si>
  <si>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</si>
  <si>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</si>
  <si>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</si>
  <si>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</si>
  <si>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</si>
  <si>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</si>
  <si>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</si>
  <si>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</si>
  <si>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</si>
  <si>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</si>
  <si>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</si>
  <si>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</si>
  <si>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</si>
  <si>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</si>
  <si>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</si>
  <si>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</si>
  <si>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</si>
  <si>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</si>
  <si>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</si>
  <si>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</si>
  <si>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</si>
  <si>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</si>
  <si>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</si>
  <si>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</si>
  <si>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</si>
  <si>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</si>
  <si>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</si>
  <si>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</si>
  <si>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</si>
  <si>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</si>
  <si>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</si>
  <si>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</si>
  <si>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</si>
  <si>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</si>
  <si>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</si>
  <si>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</si>
  <si>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</si>
  <si>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</si>
  <si>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</si>
  <si>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</si>
  <si>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</si>
  <si>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</si>
  <si>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Tillæg til engangsomkostninger vedr.  anlægsprojekter igangsat senest den 1. marts 2016</t>
  </si>
  <si>
    <t>Korrektion af den økonomiske ramme for 2024</t>
  </si>
  <si>
    <t>Økonomisk ramme for 2026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</si>
  <si>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</si>
  <si>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</si>
  <si>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</si>
  <si>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</si>
  <si>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</si>
  <si>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</si>
  <si>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</si>
  <si>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</si>
  <si>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</si>
  <si>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</si>
  <si>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</si>
  <si>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</si>
  <si>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</si>
  <si>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</si>
  <si>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</si>
  <si>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</si>
  <si>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</si>
  <si>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</si>
  <si>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</si>
  <si>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</si>
  <si>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</si>
  <si>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Engangsfradrag som følge af korrigerede oplysninger (§ 49)</t>
  </si>
  <si>
    <t>Foranalyse af regnvand i oplandet til Sømose Å</t>
  </si>
  <si>
    <t>Haraldsminde Fortsættelse og Harrestrup Å</t>
  </si>
  <si>
    <t>Ignition</t>
  </si>
  <si>
    <t>Renter 2024</t>
  </si>
  <si>
    <t>Strømpeforing</t>
  </si>
  <si>
    <t>Baltorpvej (Ellebo) Ledningsomlægning/udvidelse</t>
  </si>
  <si>
    <t>Byggemodning</t>
  </si>
  <si>
    <t>Måløv Hovedgade</t>
  </si>
  <si>
    <t>Stiketablering</t>
  </si>
  <si>
    <t>Energiledelse</t>
  </si>
  <si>
    <t xml:space="preserve">Periodevise driftsomkostninger </t>
  </si>
  <si>
    <t xml:space="preserve">CSRD og bæredygtighed </t>
  </si>
  <si>
    <t xml:space="preserve">Periodevise driftsomksotninger </t>
  </si>
  <si>
    <t xml:space="preserve">Planlægningsprojekt Harrestrup Å  </t>
  </si>
  <si>
    <t>Note: En positiv saldo på differencekontoen angiver, at I (vandselskabet) har takstmidler til gode hos forbrugerne. En negativ saldo angiver omvendt, at forbrugerne har takstmidler til gode hos jer.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</si>
</sst>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9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ColWidth="8.7109375"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OCpK+Gk/khi2cImBJGmixY5cXaIrTA1KRwnaONQrHB+NuodrXbyrfbqJRpELGgzAjm6unb3oWV2IyMdT8PTtyA==" saltValue="SMCc20lxthz+wExpe7zrE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58995082.679417625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tillæg'!C30+'5.2. Varige tillæg'!E30</f>
        <v>2645249.7965040002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-1135866.5018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-1210089.3194824324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-417028.61420052254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1701555.3583686773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60578903.398807347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38" t="s">
        <v>147</v>
      </c>
      <c r="C22" s="34">
        <v>-1113149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59465754.398807347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lRlFh1YFTcjTd5rmxzxNHn8x562uZO4UNkFpPyiAeU9YZcutHdx0WHCXpLAUxB36b2jl7LWIYuzRkjhNSHRhNw==" saltValue="8135eYFUUKsbeAdmrlGaV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70.71093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129</v>
      </c>
      <c r="C9" s="45">
        <v>101723977</v>
      </c>
      <c r="D9" s="46" t="s">
        <v>31</v>
      </c>
      <c r="E9" s="11"/>
    </row>
    <row r="10" spans="1:5" ht="15" customHeight="1" x14ac:dyDescent="0.25">
      <c r="A10" s="11"/>
      <c r="B10" s="44" t="s">
        <v>131</v>
      </c>
      <c r="C10" s="45">
        <f>'3. Omk. i ØR2026'!C10</f>
        <v>1119801.6786161887</v>
      </c>
      <c r="D10" s="46" t="s">
        <v>31</v>
      </c>
      <c r="E10" s="11"/>
    </row>
    <row r="11" spans="1:5" ht="15" customHeight="1" x14ac:dyDescent="0.25">
      <c r="A11" s="11"/>
      <c r="B11" s="44" t="s">
        <v>132</v>
      </c>
      <c r="C11" s="47">
        <f>'5.1. § 10-tillæg'!C20+'5.2. Varige tillæg'!C26+'5.2. Varige tillæg'!E26+'5.3. Engangstillæg'!C16+'5.3. Engangstillæg'!E16</f>
        <v>12444627.324509799</v>
      </c>
      <c r="D11" s="46" t="s">
        <v>31</v>
      </c>
      <c r="E11" s="11"/>
    </row>
    <row r="12" spans="1:5" ht="15" customHeight="1" x14ac:dyDescent="0.25">
      <c r="A12" s="11"/>
      <c r="B12" s="35" t="s">
        <v>130</v>
      </c>
      <c r="C12" s="36">
        <f>C9+C10+C11</f>
        <v>115288406.003126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109699854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133</v>
      </c>
      <c r="C15" s="41">
        <f>C12-C13</f>
        <v>5588552.0031259954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128</v>
      </c>
      <c r="C18" s="45">
        <v>5128968</v>
      </c>
      <c r="D18" s="46" t="s">
        <v>31</v>
      </c>
      <c r="E18" s="11"/>
    </row>
    <row r="19" spans="1:5" ht="15" customHeight="1" x14ac:dyDescent="0.25">
      <c r="A19" s="11"/>
      <c r="B19" s="25" t="s">
        <v>140</v>
      </c>
      <c r="C19" s="41">
        <f>C15+C18</f>
        <v>10717520.003125995</v>
      </c>
      <c r="D19" s="27" t="s">
        <v>31</v>
      </c>
      <c r="E19" s="11"/>
    </row>
    <row r="20" spans="1:5" ht="30" customHeight="1" x14ac:dyDescent="0.25">
      <c r="A20" s="11"/>
      <c r="B20" s="49" t="s">
        <v>162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141</v>
      </c>
      <c r="C22" s="26"/>
      <c r="D22" s="27"/>
      <c r="E22" s="11"/>
    </row>
    <row r="23" spans="1:5" ht="15" customHeight="1" x14ac:dyDescent="0.25">
      <c r="A23" s="11"/>
      <c r="B23" s="52" t="s">
        <v>142</v>
      </c>
      <c r="C23" s="53">
        <f>100*5128968/(76634955+2977601)</f>
        <v>6.4424109181973757</v>
      </c>
      <c r="D23" s="46" t="s">
        <v>143</v>
      </c>
      <c r="E23" s="11"/>
    </row>
    <row r="24" spans="1:5" ht="15" customHeight="1" x14ac:dyDescent="0.25">
      <c r="A24" s="11"/>
      <c r="B24" s="52" t="s">
        <v>144</v>
      </c>
      <c r="C24" s="53">
        <f>C19/C12*100</f>
        <v>9.2962687009788247</v>
      </c>
      <c r="D24" s="46" t="s">
        <v>143</v>
      </c>
      <c r="E24" s="11"/>
    </row>
    <row r="25" spans="1:5" ht="56.25" customHeight="1" x14ac:dyDescent="0.25">
      <c r="A25" s="11"/>
      <c r="B25" s="49" t="s">
        <v>145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ni3imQ1oUmc8n237nAtxHdvhhyFIGPyS5mt478xc9Aep26F4+UmIlfbVv1QXdM9FXxxP6LoUJmGslFA5/3ZeOQ==" saltValue="06wgwfjQsz0vzjj3nbGcQ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54" t="s">
        <v>30</v>
      </c>
      <c r="C8" s="55"/>
      <c r="D8" s="56"/>
      <c r="E8" s="11"/>
    </row>
    <row r="9" spans="1:5" ht="15" customHeight="1" x14ac:dyDescent="0.25">
      <c r="A9" s="11"/>
      <c r="B9" s="57" t="s">
        <v>121</v>
      </c>
      <c r="C9" s="58">
        <v>57796893.95201873</v>
      </c>
      <c r="D9" s="59" t="s">
        <v>31</v>
      </c>
      <c r="E9" s="11"/>
    </row>
    <row r="10" spans="1:5" ht="15" customHeight="1" x14ac:dyDescent="0.25">
      <c r="A10" s="11"/>
      <c r="B10" s="60" t="s">
        <v>32</v>
      </c>
      <c r="C10" s="58">
        <v>1119801.6786161887</v>
      </c>
      <c r="D10" s="59" t="s">
        <v>31</v>
      </c>
      <c r="E10" s="11"/>
    </row>
    <row r="11" spans="1:5" ht="15" customHeight="1" x14ac:dyDescent="0.25">
      <c r="A11" s="11"/>
      <c r="B11" s="60" t="s">
        <v>62</v>
      </c>
      <c r="C11" s="61">
        <v>0</v>
      </c>
      <c r="D11" s="59" t="s">
        <v>31</v>
      </c>
      <c r="E11" s="11"/>
    </row>
    <row r="12" spans="1:5" ht="15" customHeight="1" x14ac:dyDescent="0.25">
      <c r="A12" s="11"/>
      <c r="B12" s="60" t="s">
        <v>24</v>
      </c>
      <c r="C12" s="62">
        <v>0</v>
      </c>
      <c r="D12" s="59" t="s">
        <v>31</v>
      </c>
      <c r="E12" s="11"/>
    </row>
    <row r="13" spans="1:5" ht="15" customHeight="1" x14ac:dyDescent="0.25">
      <c r="A13" s="11"/>
      <c r="B13" s="60" t="s">
        <v>34</v>
      </c>
      <c r="C13" s="62">
        <v>0</v>
      </c>
      <c r="D13" s="59" t="s">
        <v>31</v>
      </c>
      <c r="E13" s="11"/>
    </row>
    <row r="14" spans="1:5" ht="15" customHeight="1" x14ac:dyDescent="0.25">
      <c r="A14" s="11"/>
      <c r="B14" s="60" t="s">
        <v>35</v>
      </c>
      <c r="C14" s="63">
        <v>-1178333.9126126985</v>
      </c>
      <c r="D14" s="59" t="s">
        <v>31</v>
      </c>
      <c r="E14" s="11"/>
    </row>
    <row r="15" spans="1:5" ht="15" customHeight="1" x14ac:dyDescent="0.25">
      <c r="A15" s="11"/>
      <c r="B15" s="60" t="s">
        <v>36</v>
      </c>
      <c r="C15" s="63">
        <v>-400347.64530608524</v>
      </c>
      <c r="D15" s="59" t="s">
        <v>31</v>
      </c>
      <c r="E15" s="11"/>
    </row>
    <row r="16" spans="1:5" ht="15" customHeight="1" x14ac:dyDescent="0.25">
      <c r="A16" s="11"/>
      <c r="B16" s="60" t="s">
        <v>37</v>
      </c>
      <c r="C16" s="62">
        <v>1657068.6067014961</v>
      </c>
      <c r="D16" s="59" t="s">
        <v>31</v>
      </c>
      <c r="E16" s="11"/>
    </row>
    <row r="17" spans="1:5" ht="15" customHeight="1" x14ac:dyDescent="0.25">
      <c r="A17" s="11"/>
      <c r="B17" s="64" t="s">
        <v>38</v>
      </c>
      <c r="C17" s="65">
        <f>SUM(C9:C16)</f>
        <v>58995082.679417625</v>
      </c>
      <c r="D17" s="66" t="s">
        <v>31</v>
      </c>
      <c r="E17" s="11"/>
    </row>
    <row r="18" spans="1:5" ht="15" customHeight="1" x14ac:dyDescent="0.25">
      <c r="A18" s="11"/>
      <c r="B18" s="67" t="s">
        <v>122</v>
      </c>
      <c r="C18" s="63">
        <v>0</v>
      </c>
      <c r="D18" s="68" t="s">
        <v>31</v>
      </c>
      <c r="E18" s="11"/>
    </row>
    <row r="19" spans="1:5" ht="27" customHeight="1" x14ac:dyDescent="0.25">
      <c r="A19" s="11"/>
      <c r="B19" s="69" t="s">
        <v>123</v>
      </c>
      <c r="C19" s="63">
        <v>0</v>
      </c>
      <c r="D19" s="68" t="s">
        <v>31</v>
      </c>
      <c r="E19" s="11"/>
    </row>
    <row r="20" spans="1:5" ht="15" customHeight="1" x14ac:dyDescent="0.25">
      <c r="A20" s="11"/>
      <c r="B20" s="70" t="s">
        <v>40</v>
      </c>
      <c r="C20" s="63">
        <v>0</v>
      </c>
      <c r="D20" s="68" t="s">
        <v>31</v>
      </c>
      <c r="E20" s="11"/>
    </row>
    <row r="21" spans="1:5" ht="15" customHeight="1" x14ac:dyDescent="0.25">
      <c r="A21" s="11"/>
      <c r="B21" s="71" t="s">
        <v>41</v>
      </c>
      <c r="C21" s="72">
        <v>0</v>
      </c>
      <c r="D21" s="73" t="s">
        <v>31</v>
      </c>
      <c r="E21" s="11"/>
    </row>
    <row r="22" spans="1:5" ht="15" customHeight="1" x14ac:dyDescent="0.25">
      <c r="A22" s="11"/>
      <c r="B22" s="57" t="s">
        <v>124</v>
      </c>
      <c r="C22" s="63">
        <v>0</v>
      </c>
      <c r="D22" s="68" t="s">
        <v>31</v>
      </c>
      <c r="E22" s="11"/>
    </row>
    <row r="23" spans="1:5" ht="15" customHeight="1" x14ac:dyDescent="0.25">
      <c r="A23" s="11"/>
      <c r="B23" s="67" t="s">
        <v>42</v>
      </c>
      <c r="C23" s="63">
        <v>0</v>
      </c>
      <c r="D23" s="68" t="s">
        <v>31</v>
      </c>
      <c r="E23" s="11"/>
    </row>
    <row r="24" spans="1:5" ht="15" customHeight="1" x14ac:dyDescent="0.25">
      <c r="A24" s="11"/>
      <c r="B24" s="54" t="s">
        <v>125</v>
      </c>
      <c r="C24" s="74">
        <f>SUM(C17:C23)</f>
        <v>58995082.679417625</v>
      </c>
      <c r="D24" s="56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/i0+LICGM/MuwUjRBUhVWEGLzotvtna+91RudJsygLcrC1iQgmWv6p7xWo+Vk+qtS0l72QWm1X93LxIpRMY+sg==" saltValue="gXD7HYqQ9MfkiLMR81lL5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75"/>
      <c r="C1" s="75"/>
      <c r="D1" s="75"/>
      <c r="E1" s="11"/>
    </row>
    <row r="2" spans="1:5" ht="15" customHeight="1" x14ac:dyDescent="0.25">
      <c r="A2" s="11"/>
      <c r="B2" s="75"/>
      <c r="C2" s="75"/>
      <c r="D2" s="75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6"/>
      <c r="C6" s="76"/>
      <c r="D6" s="76"/>
      <c r="E6" s="11"/>
    </row>
    <row r="7" spans="1:5" ht="15" customHeight="1" x14ac:dyDescent="0.25">
      <c r="A7" s="11"/>
      <c r="B7" s="77"/>
      <c r="C7" s="11"/>
      <c r="D7" s="11"/>
      <c r="E7" s="11"/>
    </row>
    <row r="8" spans="1:5" ht="14.25" customHeight="1" x14ac:dyDescent="0.25">
      <c r="A8" s="11"/>
      <c r="B8" s="78" t="s">
        <v>87</v>
      </c>
      <c r="C8" s="79"/>
      <c r="D8" s="80"/>
      <c r="E8" s="11"/>
    </row>
    <row r="9" spans="1:5" ht="15" customHeight="1" x14ac:dyDescent="0.25">
      <c r="A9" s="11"/>
      <c r="B9" s="52" t="s">
        <v>88</v>
      </c>
      <c r="C9" s="2">
        <v>20595884.612771556</v>
      </c>
      <c r="D9" s="46" t="s">
        <v>31</v>
      </c>
      <c r="E9" s="11"/>
    </row>
    <row r="10" spans="1:5" ht="15" customHeight="1" x14ac:dyDescent="0.25">
      <c r="A10" s="11"/>
      <c r="B10" s="81" t="s">
        <v>89</v>
      </c>
      <c r="C10" s="3">
        <f>-'8. Nøgletal'!C19*C9</f>
        <v>-411917.69225543115</v>
      </c>
      <c r="D10" s="46" t="s">
        <v>31</v>
      </c>
      <c r="E10" s="11"/>
    </row>
    <row r="11" spans="1:5" ht="15" customHeight="1" x14ac:dyDescent="0.25">
      <c r="A11" s="11"/>
      <c r="B11" s="81" t="s">
        <v>90</v>
      </c>
      <c r="C11" s="2">
        <f>('5.2. Varige tillæg'!C26)*(1+'8. Nøgletal'!C9)*(1-'8. Nøgletal'!C19)+'5.6 Anlægsprojekter'!C12-'6. Bortfald'!C12+'7. Tilknyttet virksomhed'!C12</f>
        <v>667463.78950999992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20851430.710026126</v>
      </c>
      <c r="D12" s="46" t="s">
        <v>31</v>
      </c>
      <c r="E12" s="11"/>
    </row>
    <row r="13" spans="1:5" ht="15" customHeight="1" x14ac:dyDescent="0.25">
      <c r="A13" s="11"/>
      <c r="B13" s="82" t="s">
        <v>92</v>
      </c>
      <c r="C13" s="83">
        <f>-C12*'8. Nøgletal'!C19</f>
        <v>-417028.61420052254</v>
      </c>
      <c r="D13" s="84" t="s">
        <v>31</v>
      </c>
      <c r="E13" s="85"/>
    </row>
    <row r="14" spans="1:5" ht="15" customHeight="1" x14ac:dyDescent="0.25">
      <c r="A14" s="11"/>
      <c r="B14" s="78" t="s">
        <v>93</v>
      </c>
      <c r="C14" s="79"/>
      <c r="D14" s="80"/>
      <c r="E14" s="11"/>
    </row>
    <row r="15" spans="1:5" ht="15" customHeight="1" x14ac:dyDescent="0.25">
      <c r="A15" s="11"/>
      <c r="B15" s="44" t="s">
        <v>46</v>
      </c>
      <c r="C15" s="3">
        <v>43983694.15961276</v>
      </c>
      <c r="D15" s="46" t="s">
        <v>31</v>
      </c>
      <c r="E15" s="11"/>
    </row>
    <row r="16" spans="1:5" ht="15" customHeight="1" x14ac:dyDescent="0.25">
      <c r="A16" s="11"/>
      <c r="B16" s="81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1" t="s">
        <v>94</v>
      </c>
      <c r="C17" s="2">
        <f>('5.2. Varige tillæg'!E26)*(1+'8. Nøgletal'!C9)*(1-'8. Nøgletal'!C14)+'5.6 Anlægsprojekter'!E12-'6. Bortfald'!E12+'7. Tilknyttet virksomhed'!E12</f>
        <v>896182.18899999978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44879876.348612763</v>
      </c>
      <c r="D18" s="46" t="s">
        <v>31</v>
      </c>
      <c r="E18" s="11"/>
    </row>
    <row r="19" spans="1:5" ht="15" customHeight="1" x14ac:dyDescent="0.25">
      <c r="A19" s="11"/>
      <c r="B19" s="82" t="s">
        <v>96</v>
      </c>
      <c r="C19" s="83">
        <f>-C18*'8. Nøgletal'!C15</f>
        <v>0</v>
      </c>
      <c r="D19" s="84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-417028.61420052254</v>
      </c>
      <c r="D20" s="27" t="s">
        <v>31</v>
      </c>
      <c r="E20" s="11"/>
    </row>
    <row r="21" spans="1:5" ht="39.950000000000003" customHeight="1" x14ac:dyDescent="0.25">
      <c r="A21" s="11"/>
      <c r="B21" s="86" t="s">
        <v>126</v>
      </c>
      <c r="C21" s="87"/>
      <c r="D21" s="88"/>
      <c r="E21" s="85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lZLbWuQgj5EMI+hwhlLF1i2WQ8tz0nMlDIBrhnotLuzsNLNyqCNtjgxq4F0nzoj2TjvSgT0BIqtbiAGtQadsiQ==" saltValue="6/sotPrZJm9EAG7WdFPmi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89" t="s">
        <v>98</v>
      </c>
      <c r="C8" s="90"/>
      <c r="D8" s="91"/>
      <c r="E8" s="11"/>
    </row>
    <row r="9" spans="1:5" ht="15" customHeight="1" x14ac:dyDescent="0.25">
      <c r="A9" s="11"/>
      <c r="B9" s="92" t="s">
        <v>136</v>
      </c>
      <c r="C9" s="33">
        <f>'5.1.a. § 10-tillæg'!E9</f>
        <v>4556.1042214100016</v>
      </c>
      <c r="D9" s="46" t="s">
        <v>31</v>
      </c>
      <c r="E9" s="11"/>
    </row>
    <row r="10" spans="1:5" ht="15" customHeight="1" x14ac:dyDescent="0.25">
      <c r="A10" s="11"/>
      <c r="B10" s="92" t="s">
        <v>137</v>
      </c>
      <c r="C10" s="33">
        <f>'5.1.a. § 10-tillæg'!E10</f>
        <v>4365015.2202883884</v>
      </c>
      <c r="D10" s="46" t="s">
        <v>31</v>
      </c>
      <c r="E10" s="11"/>
    </row>
    <row r="11" spans="1:5" ht="15" customHeight="1" x14ac:dyDescent="0.25">
      <c r="A11" s="11"/>
      <c r="B11" s="92" t="s">
        <v>138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2" t="s">
        <v>146</v>
      </c>
      <c r="C12" s="93">
        <v>46389</v>
      </c>
      <c r="D12" s="46" t="s">
        <v>31</v>
      </c>
      <c r="E12" s="11"/>
    </row>
    <row r="13" spans="1:5" ht="15" customHeight="1" x14ac:dyDescent="0.25">
      <c r="A13" s="11"/>
      <c r="B13" s="94"/>
      <c r="C13" s="93"/>
      <c r="D13" s="46" t="s">
        <v>31</v>
      </c>
      <c r="E13" s="11"/>
    </row>
    <row r="14" spans="1:5" ht="15" customHeight="1" x14ac:dyDescent="0.25">
      <c r="A14" s="11"/>
      <c r="B14" s="94"/>
      <c r="C14" s="93"/>
      <c r="D14" s="46" t="s">
        <v>31</v>
      </c>
      <c r="E14" s="11"/>
    </row>
    <row r="15" spans="1:5" ht="15" customHeight="1" x14ac:dyDescent="0.25">
      <c r="A15" s="11"/>
      <c r="B15" s="94"/>
      <c r="C15" s="93"/>
      <c r="D15" s="46" t="s">
        <v>31</v>
      </c>
      <c r="E15" s="11"/>
    </row>
    <row r="16" spans="1:5" ht="15" customHeight="1" x14ac:dyDescent="0.25">
      <c r="A16" s="11"/>
      <c r="B16" s="94"/>
      <c r="C16" s="93"/>
      <c r="D16" s="46" t="s">
        <v>31</v>
      </c>
      <c r="E16" s="11"/>
    </row>
    <row r="17" spans="1:5" ht="15" customHeight="1" x14ac:dyDescent="0.25">
      <c r="A17" s="11"/>
      <c r="B17" s="94"/>
      <c r="C17" s="93"/>
      <c r="D17" s="46" t="s">
        <v>31</v>
      </c>
      <c r="E17" s="11"/>
    </row>
    <row r="18" spans="1:5" ht="15" customHeight="1" x14ac:dyDescent="0.25">
      <c r="A18" s="11"/>
      <c r="B18" s="94"/>
      <c r="C18" s="93"/>
      <c r="D18" s="46" t="s">
        <v>31</v>
      </c>
      <c r="E18" s="11"/>
    </row>
    <row r="19" spans="1:5" ht="15" customHeight="1" x14ac:dyDescent="0.25">
      <c r="A19" s="11"/>
      <c r="B19" s="94"/>
      <c r="C19" s="93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5">
        <f>SUM(C9:C19)</f>
        <v>4415960.3245097985</v>
      </c>
      <c r="D20" s="96" t="s">
        <v>31</v>
      </c>
      <c r="E20" s="11"/>
    </row>
    <row r="21" spans="1:5" ht="15" customHeight="1" x14ac:dyDescent="0.25">
      <c r="A21" s="11"/>
      <c r="B21" s="97"/>
      <c r="C21" s="98"/>
      <c r="D21" s="98"/>
      <c r="E21" s="11"/>
    </row>
    <row r="22" spans="1:5" ht="15" customHeight="1" x14ac:dyDescent="0.25">
      <c r="A22" s="11"/>
      <c r="B22" s="78" t="s">
        <v>39</v>
      </c>
      <c r="C22" s="79"/>
      <c r="D22" s="80"/>
      <c r="E22" s="11"/>
    </row>
    <row r="23" spans="1:5" ht="15" customHeight="1" x14ac:dyDescent="0.25">
      <c r="A23" s="11"/>
      <c r="B23" s="99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99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5">
        <f>SUM(C23:C24)</f>
        <v>0</v>
      </c>
      <c r="D25" s="96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csPI6Ot9Hbu1VKfW7NMotD6eEP8jLgEaPghO+cz8RCB1Ijt08bZeGxD4cR07QvXeo0iSWuESHoJ3tQ2lXg6PKQ==" saltValue="abpSKth6Fe3W/G/mDDJsI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0" t="s">
        <v>127</v>
      </c>
      <c r="C8" s="101" t="s">
        <v>100</v>
      </c>
      <c r="D8" s="102" t="s">
        <v>101</v>
      </c>
      <c r="E8" s="102" t="s">
        <v>102</v>
      </c>
      <c r="F8" s="27"/>
      <c r="G8" s="11"/>
    </row>
    <row r="9" spans="1:7" ht="15" customHeight="1" x14ac:dyDescent="0.25">
      <c r="A9" s="11"/>
      <c r="B9" s="92" t="s">
        <v>136</v>
      </c>
      <c r="C9" s="33">
        <v>108481.89577859</v>
      </c>
      <c r="D9" s="33">
        <v>113038</v>
      </c>
      <c r="E9" s="33">
        <f>MAX(D9-C9,0)</f>
        <v>4556.1042214100016</v>
      </c>
      <c r="F9" s="46" t="s">
        <v>31</v>
      </c>
      <c r="G9" s="11"/>
    </row>
    <row r="10" spans="1:7" ht="15" customHeight="1" x14ac:dyDescent="0.25">
      <c r="A10" s="11"/>
      <c r="B10" s="92" t="s">
        <v>137</v>
      </c>
      <c r="C10" s="33">
        <v>22258019.779711612</v>
      </c>
      <c r="D10" s="33">
        <v>26623035</v>
      </c>
      <c r="E10" s="33">
        <f t="shared" ref="E10:E19" si="0">MAX(D10-C10,0)</f>
        <v>4365015.2202883884</v>
      </c>
      <c r="F10" s="46" t="s">
        <v>31</v>
      </c>
      <c r="G10" s="11"/>
    </row>
    <row r="11" spans="1:7" ht="15" customHeight="1" x14ac:dyDescent="0.25">
      <c r="A11" s="11"/>
      <c r="B11" s="92" t="s">
        <v>138</v>
      </c>
      <c r="C11" s="33">
        <v>213578.95538805</v>
      </c>
      <c r="D11" s="33">
        <v>77453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2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4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4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4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4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4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4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4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5"/>
      <c r="D20" s="95"/>
      <c r="E20" s="95"/>
      <c r="F20" s="96"/>
      <c r="G20" s="11"/>
    </row>
    <row r="21" spans="1:7" ht="39.75" customHeight="1" x14ac:dyDescent="0.25">
      <c r="A21" s="11"/>
      <c r="B21" s="49" t="s">
        <v>103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3"/>
      <c r="C22" s="98"/>
      <c r="D22" s="98"/>
      <c r="E22" s="98"/>
      <c r="F22" s="98"/>
      <c r="G22" s="11"/>
    </row>
    <row r="23" spans="1:7" ht="15" customHeight="1" x14ac:dyDescent="0.25">
      <c r="A23" s="11"/>
      <c r="B23" s="103"/>
      <c r="C23" s="98"/>
      <c r="D23" s="98"/>
      <c r="E23" s="98"/>
      <c r="F23" s="98"/>
      <c r="G23" s="11"/>
    </row>
  </sheetData>
  <sheetProtection algorithmName="SHA-512" hashValue="1+8gqQ2UtoeuqxjF0/eh7sB2rshQQmB91iH2bqXNqo2q4RC5LkTlRLq79oMhEXAnzZ3yBXpwlqNafhDxukxKZA==" saltValue="z4CU8kqSeBHZFGxRv8h2u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32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4" t="s">
        <v>52</v>
      </c>
      <c r="C9" s="35" t="s">
        <v>53</v>
      </c>
      <c r="D9" s="105"/>
      <c r="E9" s="35" t="s">
        <v>54</v>
      </c>
      <c r="F9" s="106"/>
      <c r="G9" s="11"/>
    </row>
    <row r="10" spans="1:7" ht="15" customHeight="1" x14ac:dyDescent="0.25">
      <c r="A10" s="11"/>
      <c r="B10" s="107" t="s">
        <v>148</v>
      </c>
      <c r="C10" s="33">
        <v>0</v>
      </c>
      <c r="D10" s="46" t="s">
        <v>31</v>
      </c>
      <c r="E10" s="33">
        <v>1251793</v>
      </c>
      <c r="F10" s="46" t="s">
        <v>31</v>
      </c>
      <c r="G10" s="11"/>
    </row>
    <row r="11" spans="1:7" ht="15" customHeight="1" x14ac:dyDescent="0.25">
      <c r="A11" s="11"/>
      <c r="B11" s="107" t="s">
        <v>149</v>
      </c>
      <c r="C11" s="33">
        <v>0</v>
      </c>
      <c r="D11" s="46" t="s">
        <v>31</v>
      </c>
      <c r="E11" s="33">
        <v>75544</v>
      </c>
      <c r="F11" s="46" t="s">
        <v>31</v>
      </c>
      <c r="G11" s="11"/>
    </row>
    <row r="12" spans="1:7" ht="15" customHeight="1" x14ac:dyDescent="0.25">
      <c r="A12" s="11"/>
      <c r="B12" s="107" t="s">
        <v>150</v>
      </c>
      <c r="C12" s="33">
        <v>0</v>
      </c>
      <c r="D12" s="46" t="s">
        <v>31</v>
      </c>
      <c r="E12" s="33">
        <v>41383</v>
      </c>
      <c r="F12" s="46" t="s">
        <v>31</v>
      </c>
      <c r="G12" s="11"/>
    </row>
    <row r="13" spans="1:7" ht="15" customHeight="1" x14ac:dyDescent="0.25">
      <c r="A13" s="11"/>
      <c r="B13" s="107" t="s">
        <v>151</v>
      </c>
      <c r="C13" s="33">
        <v>0</v>
      </c>
      <c r="D13" s="46" t="s">
        <v>31</v>
      </c>
      <c r="E13" s="33">
        <v>17610</v>
      </c>
      <c r="F13" s="46" t="s">
        <v>31</v>
      </c>
      <c r="G13" s="11"/>
    </row>
    <row r="14" spans="1:7" ht="15" customHeight="1" x14ac:dyDescent="0.25">
      <c r="A14" s="11"/>
      <c r="B14" s="107" t="s">
        <v>152</v>
      </c>
      <c r="C14" s="33">
        <v>0</v>
      </c>
      <c r="D14" s="46" t="s">
        <v>31</v>
      </c>
      <c r="E14" s="33">
        <v>236793</v>
      </c>
      <c r="F14" s="46" t="s">
        <v>31</v>
      </c>
      <c r="G14" s="11"/>
    </row>
    <row r="15" spans="1:7" ht="15" customHeight="1" x14ac:dyDescent="0.25">
      <c r="A15" s="11"/>
      <c r="B15" s="107" t="s">
        <v>153</v>
      </c>
      <c r="C15" s="33">
        <v>0</v>
      </c>
      <c r="D15" s="46" t="s">
        <v>31</v>
      </c>
      <c r="E15" s="33">
        <v>53397</v>
      </c>
      <c r="F15" s="46" t="s">
        <v>31</v>
      </c>
      <c r="G15" s="11"/>
    </row>
    <row r="16" spans="1:7" ht="15" customHeight="1" x14ac:dyDescent="0.25">
      <c r="A16" s="11"/>
      <c r="B16" s="107" t="s">
        <v>154</v>
      </c>
      <c r="C16" s="33">
        <v>0</v>
      </c>
      <c r="D16" s="46" t="s">
        <v>31</v>
      </c>
      <c r="E16" s="33">
        <v>204476</v>
      </c>
      <c r="F16" s="46" t="s">
        <v>31</v>
      </c>
      <c r="G16" s="11"/>
    </row>
    <row r="17" spans="1:7" ht="15" customHeight="1" x14ac:dyDescent="0.25">
      <c r="A17" s="11"/>
      <c r="B17" s="107" t="s">
        <v>155</v>
      </c>
      <c r="C17" s="33">
        <v>0</v>
      </c>
      <c r="D17" s="46" t="s">
        <v>31</v>
      </c>
      <c r="E17" s="33">
        <v>25452</v>
      </c>
      <c r="F17" s="46" t="s">
        <v>31</v>
      </c>
      <c r="G17" s="11"/>
    </row>
    <row r="18" spans="1:7" ht="15" customHeight="1" x14ac:dyDescent="0.25">
      <c r="A18" s="11"/>
      <c r="B18" s="107" t="s">
        <v>151</v>
      </c>
      <c r="C18" s="33">
        <v>0</v>
      </c>
      <c r="D18" s="46" t="s">
        <v>31</v>
      </c>
      <c r="E18" s="33">
        <v>53748</v>
      </c>
      <c r="F18" s="46" t="s">
        <v>31</v>
      </c>
      <c r="G18" s="11"/>
    </row>
    <row r="19" spans="1:7" ht="15" customHeight="1" x14ac:dyDescent="0.25">
      <c r="A19" s="11"/>
      <c r="B19" s="107" t="s">
        <v>156</v>
      </c>
      <c r="C19" s="33">
        <v>319432</v>
      </c>
      <c r="D19" s="46" t="s">
        <v>31</v>
      </c>
      <c r="E19" s="33">
        <v>14776</v>
      </c>
      <c r="F19" s="46" t="s">
        <v>31</v>
      </c>
      <c r="G19" s="11"/>
    </row>
    <row r="20" spans="1:7" ht="15" customHeight="1" x14ac:dyDescent="0.25">
      <c r="A20" s="11"/>
      <c r="B20" s="107" t="s">
        <v>158</v>
      </c>
      <c r="C20" s="33">
        <v>266473</v>
      </c>
      <c r="D20" s="46" t="s">
        <v>31</v>
      </c>
      <c r="E20" s="33">
        <v>0</v>
      </c>
      <c r="F20" s="46" t="s">
        <v>31</v>
      </c>
      <c r="G20" s="11"/>
    </row>
    <row r="21" spans="1:7" ht="15" customHeight="1" x14ac:dyDescent="0.25">
      <c r="A21" s="11"/>
      <c r="B21" s="107" t="s">
        <v>20</v>
      </c>
      <c r="C21" s="33">
        <v>38425</v>
      </c>
      <c r="D21" s="46" t="s">
        <v>31</v>
      </c>
      <c r="E21" s="33">
        <v>0</v>
      </c>
      <c r="F21" s="46" t="s">
        <v>31</v>
      </c>
      <c r="G21" s="11"/>
    </row>
    <row r="22" spans="1:7" ht="15" customHeight="1" x14ac:dyDescent="0.25">
      <c r="A22" s="11"/>
      <c r="B22" s="107" t="s">
        <v>158</v>
      </c>
      <c r="C22" s="33">
        <v>37625</v>
      </c>
      <c r="D22" s="46" t="s">
        <v>31</v>
      </c>
      <c r="E22" s="33">
        <v>0</v>
      </c>
      <c r="F22" s="46" t="s">
        <v>31</v>
      </c>
      <c r="G22" s="11"/>
    </row>
    <row r="23" spans="1:7" ht="15" customHeight="1" x14ac:dyDescent="0.25">
      <c r="A23" s="11"/>
      <c r="B23" s="107"/>
      <c r="C23" s="33"/>
      <c r="D23" s="46" t="s">
        <v>31</v>
      </c>
      <c r="E23" s="33"/>
      <c r="F23" s="46" t="s">
        <v>31</v>
      </c>
      <c r="G23" s="11"/>
    </row>
    <row r="24" spans="1:7" ht="15" customHeight="1" x14ac:dyDescent="0.25">
      <c r="A24" s="11"/>
      <c r="B24" s="107"/>
      <c r="C24" s="33"/>
      <c r="D24" s="46" t="s">
        <v>31</v>
      </c>
      <c r="E24" s="33"/>
      <c r="F24" s="46" t="s">
        <v>31</v>
      </c>
      <c r="G24" s="11"/>
    </row>
    <row r="25" spans="1:7" ht="15" customHeight="1" x14ac:dyDescent="0.25">
      <c r="A25" s="11"/>
      <c r="B25" s="107"/>
      <c r="C25" s="33"/>
      <c r="D25" s="46" t="s">
        <v>31</v>
      </c>
      <c r="E25" s="33"/>
      <c r="F25" s="46" t="s">
        <v>31</v>
      </c>
      <c r="G25" s="11"/>
    </row>
    <row r="26" spans="1:7" ht="15" customHeight="1" x14ac:dyDescent="0.25">
      <c r="A26" s="11"/>
      <c r="B26" s="25" t="s">
        <v>104</v>
      </c>
      <c r="C26" s="95">
        <f>SUM(C10:C25)</f>
        <v>661955</v>
      </c>
      <c r="D26" s="96" t="s">
        <v>31</v>
      </c>
      <c r="E26" s="95">
        <f>SUM(E10:E25)</f>
        <v>1974972</v>
      </c>
      <c r="F26" s="96" t="s">
        <v>31</v>
      </c>
      <c r="G26" s="11"/>
    </row>
    <row r="27" spans="1:7" ht="15" customHeight="1" x14ac:dyDescent="0.25">
      <c r="A27" s="11"/>
      <c r="B27" s="107" t="s">
        <v>35</v>
      </c>
      <c r="C27" s="33">
        <f>-C26*'8. Nøgletal'!C23</f>
        <v>-13239.1</v>
      </c>
      <c r="D27" s="46" t="s">
        <v>31</v>
      </c>
      <c r="E27" s="33">
        <f>-E26*'8. Nøgletal'!C23</f>
        <v>-39499.440000000002</v>
      </c>
      <c r="F27" s="46" t="s">
        <v>31</v>
      </c>
      <c r="G27" s="11"/>
    </row>
    <row r="28" spans="1:7" ht="15" customHeight="1" x14ac:dyDescent="0.25">
      <c r="A28" s="11"/>
      <c r="B28" s="107" t="s">
        <v>36</v>
      </c>
      <c r="C28" s="33">
        <f>-C26*'8. Nøgletal'!C19</f>
        <v>-13239.1</v>
      </c>
      <c r="D28" s="46" t="s">
        <v>31</v>
      </c>
      <c r="E28" s="33">
        <f>-E26*'8. Nøgletal'!C14</f>
        <v>0</v>
      </c>
      <c r="F28" s="46" t="s">
        <v>31</v>
      </c>
      <c r="G28" s="11"/>
    </row>
    <row r="29" spans="1:7" ht="15" customHeight="1" x14ac:dyDescent="0.25">
      <c r="A29" s="11"/>
      <c r="B29" s="107" t="s">
        <v>37</v>
      </c>
      <c r="C29" s="33">
        <f>SUM(C26:C28)*'8. Nøgletal'!C9</f>
        <v>18365.27952</v>
      </c>
      <c r="D29" s="46" t="s">
        <v>31</v>
      </c>
      <c r="E29" s="33">
        <f>SUM(E26:E28)*'8. Nøgletal'!C9</f>
        <v>55935.156984000001</v>
      </c>
      <c r="F29" s="46" t="s">
        <v>31</v>
      </c>
      <c r="G29" s="11"/>
    </row>
    <row r="30" spans="1:7" ht="26.25" customHeight="1" x14ac:dyDescent="0.25">
      <c r="A30" s="11"/>
      <c r="B30" s="100" t="s">
        <v>105</v>
      </c>
      <c r="C30" s="95">
        <f>SUM(C26:C29)</f>
        <v>653842.07952000003</v>
      </c>
      <c r="D30" s="96" t="s">
        <v>31</v>
      </c>
      <c r="E30" s="95">
        <f>SUM(E26:E29)</f>
        <v>1991407.7169840001</v>
      </c>
      <c r="F30" s="96" t="s">
        <v>31</v>
      </c>
      <c r="G30" s="11"/>
    </row>
    <row r="31" spans="1:7" ht="15" customHeight="1" x14ac:dyDescent="0.25">
      <c r="A31" s="11"/>
      <c r="B31" s="11"/>
      <c r="C31" s="11"/>
      <c r="D31" s="11"/>
      <c r="E31" s="11"/>
      <c r="F31" s="11"/>
      <c r="G31" s="11"/>
    </row>
    <row r="32" spans="1:7" ht="15" customHeight="1" x14ac:dyDescent="0.25">
      <c r="A32" s="11"/>
      <c r="B32" s="11"/>
      <c r="C32" s="11"/>
      <c r="D32" s="11"/>
      <c r="E32" s="11"/>
      <c r="F32" s="11"/>
      <c r="G32" s="11"/>
    </row>
  </sheetData>
  <sheetProtection algorithmName="SHA-512" hashValue="J2EBSruFRLdu1wLkPyXgFGjMCXH9NtaT6gDXK5B5NM1PfIzU+vCRYSaxjRroTgosX/svk0qSVG9VElc76IHlFw==" saltValue="D7Hy7CzJr8Oz4T73H6iwY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78" t="s">
        <v>18</v>
      </c>
      <c r="C8" s="79"/>
      <c r="D8" s="79"/>
      <c r="E8" s="79"/>
      <c r="F8" s="80"/>
      <c r="G8" s="11"/>
    </row>
    <row r="9" spans="1:7" ht="15" customHeight="1" x14ac:dyDescent="0.25">
      <c r="A9" s="11"/>
      <c r="B9" s="104" t="s">
        <v>52</v>
      </c>
      <c r="C9" s="35" t="s">
        <v>53</v>
      </c>
      <c r="D9" s="105"/>
      <c r="E9" s="35" t="s">
        <v>54</v>
      </c>
      <c r="F9" s="106"/>
      <c r="G9" s="11"/>
    </row>
    <row r="10" spans="1:7" ht="15" customHeight="1" x14ac:dyDescent="0.25">
      <c r="A10" s="11"/>
      <c r="B10" s="107" t="s">
        <v>159</v>
      </c>
      <c r="C10" s="33">
        <v>154688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07" t="s">
        <v>157</v>
      </c>
      <c r="C11" s="33">
        <v>77120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07" t="s">
        <v>149</v>
      </c>
      <c r="C12" s="33">
        <v>1205253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07" t="s">
        <v>160</v>
      </c>
      <c r="C13" s="33">
        <v>1865312</v>
      </c>
      <c r="D13" s="46"/>
      <c r="E13" s="33">
        <v>0</v>
      </c>
      <c r="F13" s="46" t="s">
        <v>31</v>
      </c>
      <c r="G13" s="11"/>
    </row>
    <row r="14" spans="1:7" ht="15" customHeight="1" x14ac:dyDescent="0.25">
      <c r="A14" s="11"/>
      <c r="B14" s="107" t="s">
        <v>160</v>
      </c>
      <c r="C14" s="33">
        <v>960613</v>
      </c>
      <c r="D14" s="46"/>
      <c r="E14" s="33">
        <v>0</v>
      </c>
      <c r="F14" s="46" t="s">
        <v>31</v>
      </c>
      <c r="G14" s="11"/>
    </row>
    <row r="15" spans="1:7" ht="15" customHeight="1" x14ac:dyDescent="0.25">
      <c r="A15" s="11"/>
      <c r="B15" s="107" t="s">
        <v>160</v>
      </c>
      <c r="C15" s="33">
        <v>1128754</v>
      </c>
      <c r="D15" s="46"/>
      <c r="E15" s="33">
        <v>0</v>
      </c>
      <c r="F15" s="46">
        <v>5</v>
      </c>
      <c r="G15" s="11"/>
    </row>
    <row r="16" spans="1:7" ht="15" customHeight="1" x14ac:dyDescent="0.25">
      <c r="A16" s="11"/>
      <c r="B16" s="25" t="s">
        <v>106</v>
      </c>
      <c r="C16" s="95">
        <f>SUM(C10:C15)</f>
        <v>5391740</v>
      </c>
      <c r="D16" s="96" t="s">
        <v>31</v>
      </c>
      <c r="E16" s="95">
        <f>SUM(E10:E15)</f>
        <v>0</v>
      </c>
      <c r="F16" s="96" t="s">
        <v>31</v>
      </c>
      <c r="G16" s="11"/>
    </row>
    <row r="17" spans="1:7" ht="15" customHeight="1" x14ac:dyDescent="0.25">
      <c r="A17" s="11"/>
      <c r="B17" s="11"/>
      <c r="C17" s="11"/>
      <c r="D17" s="11"/>
      <c r="E17" s="11"/>
      <c r="F17" s="11"/>
      <c r="G17" s="11"/>
    </row>
    <row r="18" spans="1:7" ht="15" customHeight="1" x14ac:dyDescent="0.25">
      <c r="A18" s="11"/>
      <c r="B18" s="108"/>
      <c r="C18" s="108"/>
      <c r="D18" s="108"/>
      <c r="E18" s="108"/>
      <c r="F18" s="108"/>
      <c r="G18" s="11"/>
    </row>
  </sheetData>
  <sheetProtection algorithmName="SHA-512" hashValue="MwUA93qkoKFW4JC26AkcYiziUyh2/WyHTnA+nsdIlwzp+9RMOIAun4q18pU6IzrZ1trL17IWbkB+7HXh9aj5uw==" saltValue="Pq3SNBCHzb4Re5EA0/EDZ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78" t="s">
        <v>107</v>
      </c>
      <c r="C8" s="79"/>
      <c r="D8" s="80"/>
      <c r="E8" s="11"/>
    </row>
    <row r="9" spans="1:5" ht="15" customHeight="1" x14ac:dyDescent="0.25">
      <c r="A9" s="11"/>
      <c r="B9" s="109" t="s">
        <v>108</v>
      </c>
      <c r="C9" s="33"/>
      <c r="D9" s="46" t="s">
        <v>31</v>
      </c>
      <c r="E9" s="11"/>
    </row>
    <row r="10" spans="1:5" ht="15" customHeight="1" x14ac:dyDescent="0.25">
      <c r="A10" s="11"/>
      <c r="B10" s="110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0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1" t="s">
        <v>109</v>
      </c>
      <c r="C12" s="95">
        <f>SUM(C9:C11)*(1+'8. Nøgletal'!C9)*(1+'8. Nøgletal'!C10)</f>
        <v>0</v>
      </c>
      <c r="D12" s="96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c7KSx6H1iCZwYNJJVJG4IzyGlkWgMucC4hiQtG3sjZL7voOdcnSPubIwQof27dFR7cjcOqdKdjRIONadPSRIdA==" saltValue="9j4ymjEB2VL4/Mj6g0QXU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78" t="s">
        <v>57</v>
      </c>
      <c r="C8" s="79"/>
      <c r="D8" s="80"/>
      <c r="E8" s="11"/>
    </row>
    <row r="9" spans="1:5" ht="26.25" x14ac:dyDescent="0.25">
      <c r="A9" s="11"/>
      <c r="B9" s="112" t="s">
        <v>111</v>
      </c>
      <c r="C9" s="113"/>
      <c r="D9" s="112" t="s">
        <v>31</v>
      </c>
      <c r="E9" s="11"/>
    </row>
    <row r="10" spans="1:5" ht="14.25" customHeight="1" x14ac:dyDescent="0.25">
      <c r="A10" s="11"/>
      <c r="B10" s="44" t="s">
        <v>112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78" t="s">
        <v>59</v>
      </c>
      <c r="C12" s="79"/>
      <c r="D12" s="80"/>
      <c r="E12" s="11"/>
    </row>
    <row r="13" spans="1:5" ht="26.25" customHeight="1" x14ac:dyDescent="0.25">
      <c r="A13" s="11"/>
      <c r="B13" s="112" t="s">
        <v>139</v>
      </c>
      <c r="C13" s="113"/>
      <c r="D13" s="112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5">
        <f>C11+C15</f>
        <v>0</v>
      </c>
      <c r="D16" s="96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GMyZG9CEIwrmCu/+5ITrJh/Kys1vJFvURzIMssEmaUCGv683C2yVQfLeiY9BVbwnT1WJ+yJ4Y2G7U0GhHZYghQ==" saltValue="9o08WBh53l+wayIgCIpVh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8.710937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4" t="s">
        <v>63</v>
      </c>
      <c r="C9" s="115" t="s">
        <v>65</v>
      </c>
      <c r="D9" s="116"/>
      <c r="E9" s="115" t="s">
        <v>64</v>
      </c>
      <c r="F9" s="116"/>
      <c r="G9" s="115" t="s">
        <v>66</v>
      </c>
      <c r="H9" s="116"/>
      <c r="I9" s="11"/>
    </row>
    <row r="10" spans="1:9" ht="15" customHeight="1" x14ac:dyDescent="0.25">
      <c r="A10" s="11"/>
      <c r="B10" s="109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5">
        <f>SUM(C10:C10)</f>
        <v>0</v>
      </c>
      <c r="D11" s="95" t="s">
        <v>68</v>
      </c>
      <c r="E11" s="95">
        <f>SUM(E10:E10)</f>
        <v>0</v>
      </c>
      <c r="F11" s="95" t="s">
        <v>68</v>
      </c>
      <c r="G11" s="95">
        <f>SUM(G10:G10)</f>
        <v>0</v>
      </c>
      <c r="H11" s="96" t="s">
        <v>31</v>
      </c>
      <c r="I11" s="11"/>
    </row>
    <row r="12" spans="1:9" ht="15" customHeight="1" x14ac:dyDescent="0.25">
      <c r="A12" s="11"/>
      <c r="B12" s="25" t="s">
        <v>114</v>
      </c>
      <c r="C12" s="95">
        <f>C11*(1+'8. Nøgletal'!C9)</f>
        <v>0</v>
      </c>
      <c r="D12" s="95" t="s">
        <v>68</v>
      </c>
      <c r="E12" s="95">
        <f>E11*(1+'8. Nøgletal'!C9)</f>
        <v>0</v>
      </c>
      <c r="F12" s="95" t="s">
        <v>68</v>
      </c>
      <c r="G12" s="95">
        <f>G11*(1+'8. Nøgletal'!C9)</f>
        <v>0</v>
      </c>
      <c r="H12" s="96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MOAp9xi5D/lDD0KS0d/mJuPgxx/BUkvq83l2TkIf8E4hwL0r13RxaSO5pGl6bCDKF2kIwwQCdKWsitMub2FFxQ==" saltValue="fEWqPtOAFpgJVSl8VZsa/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78" t="s">
        <v>115</v>
      </c>
      <c r="C8" s="79"/>
      <c r="D8" s="79"/>
      <c r="E8" s="79"/>
      <c r="F8" s="80"/>
      <c r="G8" s="11"/>
    </row>
    <row r="9" spans="1:7" ht="15" customHeight="1" x14ac:dyDescent="0.25">
      <c r="A9" s="11"/>
      <c r="B9" s="117" t="s">
        <v>71</v>
      </c>
      <c r="C9" s="118" t="s">
        <v>53</v>
      </c>
      <c r="D9" s="119"/>
      <c r="E9" s="118" t="s">
        <v>54</v>
      </c>
      <c r="F9" s="119"/>
      <c r="G9" s="11"/>
    </row>
    <row r="10" spans="1:7" ht="15" customHeight="1" x14ac:dyDescent="0.25">
      <c r="A10" s="11"/>
      <c r="B10" s="120" t="s">
        <v>161</v>
      </c>
      <c r="C10" s="33">
        <v>0</v>
      </c>
      <c r="D10" s="46" t="s">
        <v>31</v>
      </c>
      <c r="E10" s="33">
        <v>1103962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95">
        <f>SUM(C10:C10)</f>
        <v>0</v>
      </c>
      <c r="D11" s="96" t="s">
        <v>31</v>
      </c>
      <c r="E11" s="95">
        <f>SUM(E10:E10)</f>
        <v>1103962</v>
      </c>
      <c r="F11" s="96" t="s">
        <v>31</v>
      </c>
      <c r="G11" s="11"/>
    </row>
    <row r="12" spans="1:7" ht="15" customHeight="1" x14ac:dyDescent="0.25">
      <c r="A12" s="11"/>
      <c r="B12" s="25" t="s">
        <v>116</v>
      </c>
      <c r="C12" s="95">
        <f>C11*(1+'8. Nøgletal'!C9)</f>
        <v>0</v>
      </c>
      <c r="D12" s="96" t="s">
        <v>31</v>
      </c>
      <c r="E12" s="95">
        <f>E11*(1+'8. Nøgletal'!C9)</f>
        <v>1135866.5018</v>
      </c>
      <c r="F12" s="96" t="s">
        <v>31</v>
      </c>
      <c r="G12" s="85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08"/>
      <c r="C14" s="108"/>
      <c r="D14" s="108"/>
      <c r="E14" s="108"/>
      <c r="F14" s="108"/>
      <c r="G14" s="11"/>
    </row>
  </sheetData>
  <sheetProtection algorithmName="SHA-512" hashValue="lTm+6f8HM3n6GDahRtDUkOuhH/vk/Djwxr5urX6kH1PX0/bcUlckqbxLRImibV/2e2Gzso7iY9kVEG45xr5GUg==" saltValue="ioHeJSFev2ZxIwG2u/yTI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78" t="s">
        <v>26</v>
      </c>
      <c r="C8" s="79"/>
      <c r="D8" s="79"/>
      <c r="E8" s="79"/>
      <c r="F8" s="80"/>
      <c r="G8" s="11"/>
    </row>
    <row r="9" spans="1:7" ht="15" customHeight="1" x14ac:dyDescent="0.25">
      <c r="A9" s="11"/>
      <c r="B9" s="117" t="s">
        <v>74</v>
      </c>
      <c r="C9" s="121" t="s">
        <v>53</v>
      </c>
      <c r="D9" s="106"/>
      <c r="E9" s="121" t="s">
        <v>54</v>
      </c>
      <c r="F9" s="106"/>
      <c r="G9" s="11"/>
    </row>
    <row r="10" spans="1:7" ht="26.25" customHeight="1" x14ac:dyDescent="0.25">
      <c r="A10" s="11"/>
      <c r="B10" s="122" t="s">
        <v>134</v>
      </c>
      <c r="C10" s="123"/>
      <c r="D10" s="124" t="s">
        <v>31</v>
      </c>
      <c r="E10" s="123"/>
      <c r="F10" s="124" t="s">
        <v>31</v>
      </c>
      <c r="G10" s="11"/>
    </row>
    <row r="11" spans="1:7" ht="26.25" customHeight="1" x14ac:dyDescent="0.25">
      <c r="A11" s="11"/>
      <c r="B11" s="125" t="s">
        <v>135</v>
      </c>
      <c r="C11" s="126">
        <f>SUM(C10:C10)</f>
        <v>0</v>
      </c>
      <c r="D11" s="127" t="s">
        <v>31</v>
      </c>
      <c r="E11" s="126">
        <f>SUM(E10:E10)</f>
        <v>0</v>
      </c>
      <c r="F11" s="127" t="s">
        <v>31</v>
      </c>
      <c r="G11" s="11"/>
    </row>
    <row r="12" spans="1:7" ht="26.25" customHeight="1" x14ac:dyDescent="0.25">
      <c r="A12" s="11"/>
      <c r="B12" s="125" t="s">
        <v>117</v>
      </c>
      <c r="C12" s="126">
        <f>C11*(1+'8. Nøgletal'!C9)</f>
        <v>0</v>
      </c>
      <c r="D12" s="127" t="s">
        <v>31</v>
      </c>
      <c r="E12" s="126">
        <f>E11*(1+'8. Nøgletal'!C9)</f>
        <v>0</v>
      </c>
      <c r="F12" s="127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lAR3QX+8tkgmC0sTWuXk3aduZUDYQ6XTEzzZFphTe7wkNAliCvHcA7Jj7DjD1GTyQWcU6HVMhSAnkjJg2h4nOw==" saltValue="dS8+o4u7MOplW/zogfRjR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8.710937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28" t="s">
        <v>76</v>
      </c>
      <c r="C9" s="4">
        <v>2.8899999999999999E-2</v>
      </c>
      <c r="D9" s="22"/>
    </row>
    <row r="10" spans="1:4" ht="15" customHeight="1" x14ac:dyDescent="0.25">
      <c r="A10" s="11"/>
      <c r="B10" s="128" t="s">
        <v>118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7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28" t="s">
        <v>78</v>
      </c>
      <c r="C14" s="5">
        <v>0</v>
      </c>
      <c r="D14" s="22"/>
    </row>
    <row r="15" spans="1:4" ht="15" customHeight="1" x14ac:dyDescent="0.25">
      <c r="A15" s="11"/>
      <c r="B15" s="128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7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99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7"/>
      <c r="C21" s="11"/>
      <c r="D21" s="11"/>
    </row>
    <row r="22" spans="1:4" ht="15" customHeight="1" x14ac:dyDescent="0.25">
      <c r="A22" s="11"/>
      <c r="B22" s="78" t="s">
        <v>35</v>
      </c>
      <c r="C22" s="80"/>
      <c r="D22" s="11"/>
    </row>
    <row r="23" spans="1:4" ht="15" customHeight="1" x14ac:dyDescent="0.25">
      <c r="A23" s="11"/>
      <c r="B23" s="44" t="s">
        <v>81</v>
      </c>
      <c r="C23" s="8">
        <v>0.02</v>
      </c>
      <c r="D23" s="22"/>
    </row>
    <row r="24" spans="1:4" ht="15" customHeight="1" x14ac:dyDescent="0.25">
      <c r="A24" s="11"/>
      <c r="B24" s="44" t="s">
        <v>120</v>
      </c>
      <c r="C24" s="8">
        <v>0.02</v>
      </c>
      <c r="D24" s="22"/>
    </row>
    <row r="25" spans="1:4" ht="15" customHeight="1" x14ac:dyDescent="0.25">
      <c r="A25" s="11"/>
      <c r="B25" s="78"/>
      <c r="C25" s="80"/>
      <c r="D25" s="11"/>
    </row>
    <row r="26" spans="1:4" ht="15" customHeight="1" x14ac:dyDescent="0.25">
      <c r="A26" s="11"/>
      <c r="B26" s="77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Ng3U0ovq7R/XjB/y303XR9DWpM2RFy+xPYGlAXapYDpgswhlDJNwIUMKx/vwGs9QgySBc8Ys5bG0GB92Yfcrxg==" saltValue="zEv/3h4pxu+xWT07ZopRn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98</vt:i4>
      </vt:variant>
    </vt:vector>
  </HeadingPairs>
  <TitlesOfParts>
    <vt:vector size="113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2026-10-01T14:02:21Z</dcterms:modified>
</cp:coreProperties>
</file>