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DIN Forsyning Vand AS (V04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0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C17" i="19" l="1"/>
  <c r="E33" i="32" l="1"/>
  <c r="E39" i="32" s="1"/>
  <c r="E41" i="32" s="1"/>
  <c r="E16" i="27" l="1"/>
  <c r="E25" i="11" l="1"/>
  <c r="E26" i="11"/>
  <c r="E9" i="11"/>
  <c r="E27" i="11" s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27" i="11"/>
  <c r="C10" i="37" s="1"/>
  <c r="C13" i="37" s="1"/>
  <c r="G27" i="11"/>
  <c r="C14" i="37" l="1"/>
  <c r="C11" i="2" s="1"/>
  <c r="E11" i="21"/>
  <c r="E12" i="21" s="1"/>
  <c r="C11" i="21"/>
  <c r="C12" i="21" s="1"/>
  <c r="E11" i="29"/>
  <c r="E12" i="29" s="1"/>
  <c r="C11" i="29"/>
  <c r="C12" i="29" s="1"/>
  <c r="C18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0" i="37"/>
  <c r="E13" i="37" s="1"/>
  <c r="G35" i="30" l="1"/>
  <c r="G37" i="30" s="1"/>
  <c r="C19" i="2"/>
  <c r="E14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<sst xmlns="http://schemas.openxmlformats.org/spreadsheetml/2006/main" count="655" uniqueCount="274">
  <si>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</si>
  <si>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</si>
  <si>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</si>
  <si>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</si>
  <si>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</si>
  <si>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</si>
  <si>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</si>
  <si>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</si>
  <si>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</si>
  <si>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</si>
  <si>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</si>
  <si>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</si>
  <si>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</si>
  <si>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</si>
  <si>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</si>
  <si>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</si>
  <si>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</si>
  <si>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</si>
  <si>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</si>
  <si>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</si>
  <si>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</si>
  <si>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</si>
  <si>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</si>
  <si>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</si>
  <si>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</si>
  <si>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</si>
  <si>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</si>
  <si>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</si>
  <si>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</si>
  <si>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</si>
  <si>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</si>
  <si>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</si>
  <si>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</si>
  <si>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</si>
  <si>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</si>
  <si>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</si>
  <si>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</si>
  <si>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</si>
  <si>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</si>
  <si>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</si>
  <si>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</si>
  <si>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</si>
  <si>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</si>
  <si>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</si>
  <si>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</si>
  <si>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</si>
  <si>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</si>
  <si>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</si>
  <si>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</si>
  <si>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</si>
  <si>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</si>
  <si>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</si>
  <si>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</si>
  <si>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</si>
  <si>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</si>
  <si>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</si>
  <si>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</si>
  <si>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</si>
  <si>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</si>
  <si>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</si>
  <si>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</si>
  <si>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</si>
  <si>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</si>
  <si>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</si>
  <si>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</si>
  <si>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</si>
  <si>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</si>
  <si>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</si>
  <si>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</si>
  <si>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</si>
  <si>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</si>
  <si>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</si>
  <si>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</si>
  <si>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</si>
  <si>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</si>
  <si>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</si>
  <si>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</si>
  <si>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</si>
  <si>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</si>
  <si>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</si>
  <si>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</si>
  <si>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</si>
  <si>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</si>
  <si>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</si>
  <si>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</si>
  <si>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</si>
  <si>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</si>
  <si>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</si>
  <si>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</si>
  <si>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</si>
  <si>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</si>
  <si>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</si>
  <si>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</si>
  <si>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</si>
  <si>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</si>
  <si>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</si>
  <si>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</si>
  <si>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</si>
  <si>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</si>
  <si>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</si>
  <si>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</si>
  <si>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</si>
  <si>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</si>
  <si>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</si>
  <si>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</si>
  <si>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</si>
  <si>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</si>
  <si>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</si>
  <si>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</si>
  <si>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</si>
  <si>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</si>
  <si>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</si>
  <si>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</si>
  <si>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</si>
  <si>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</si>
  <si>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</si>
  <si>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</si>
  <si>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</si>
  <si>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</si>
  <si>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</si>
  <si>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</si>
  <si>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</si>
  <si>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</si>
  <si>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</si>
  <si>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</si>
  <si>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</si>
  <si>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</si>
  <si>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</si>
  <si>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</si>
  <si>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</si>
  <si>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</si>
  <si>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</si>
  <si>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</si>
  <si>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</si>
  <si>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</si>
  <si>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</si>
  <si>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</si>
  <si>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</si>
  <si>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</si>
  <si>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</si>
  <si>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</si>
  <si>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</si>
  <si>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</si>
  <si>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</si>
  <si>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</si>
  <si>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</si>
  <si>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</si>
  <si>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</si>
  <si>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</si>
  <si>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</si>
  <si>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</si>
  <si>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</si>
  <si>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</si>
  <si>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</si>
  <si>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</si>
  <si>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</si>
  <si>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</si>
  <si>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</si>
  <si>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</si>
  <si>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</si>
  <si>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</si>
  <si>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</si>
  <si>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</si>
  <si>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</si>
  <si>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</si>
  <si>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</si>
  <si>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</si>
  <si>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</si>
  <si>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</si>
  <si>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</si>
  <si>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</si>
  <si>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</si>
  <si>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</si>
  <si>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</si>
  <si>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</si>
  <si>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</si>
  <si>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</si>
  <si>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</si>
  <si>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</si>
  <si>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</si>
  <si>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</si>
  <si>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</si>
  <si>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</si>
  <si>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</si>
  <si>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</si>
  <si>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</si>
  <si>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</si>
  <si>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</si>
  <si>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</si>
  <si>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</si>
  <si>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</si>
  <si>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</si>
  <si>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</si>
  <si>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</si>
  <si>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</si>
  <si>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</si>
  <si>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</si>
  <si>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</si>
  <si>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</si>
  <si>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</si>
  <si>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</si>
  <si>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</si>
  <si>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</si>
  <si>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</si>
  <si>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</si>
  <si>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</si>
  <si>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</si>
  <si>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</si>
  <si>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</si>
  <si>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</si>
  <si>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</si>
  <si>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</si>
  <si>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</si>
  <si>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</si>
  <si>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</si>
  <si>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</si>
  <si>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</si>
  <si>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</si>
  <si>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</si>
  <si>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</si>
  <si>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</si>
  <si>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</si>
  <si>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</si>
  <si>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</si>
  <si>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</si>
  <si>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</si>
  <si>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</si>
  <si>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</si>
  <si>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</si>
  <si>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</si>
  <si>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</si>
  <si>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</si>
  <si>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</si>
  <si>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</si>
  <si>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</si>
  <si>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</si>
  <si>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</si>
  <si>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</si>
  <si>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Erstatninger</t>
  </si>
  <si>
    <t>Frivillige aftaler om dyrkningspraksis eller andre restriktioner i arealanvendelse</t>
  </si>
  <si>
    <t>Ingen tilknyttet virksomhed</t>
  </si>
  <si>
    <t>Ingen bortfald eller nedsættelse</t>
  </si>
  <si>
    <t>Omlægning af forsyningsledninger</t>
  </si>
  <si>
    <t>Byggemodninger og enkelttilslutninger</t>
  </si>
  <si>
    <t>Ingen engangstillæg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</si>
  <si>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</si>
  <si>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</si>
  <si>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</si>
  <si>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</si>
  <si>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</si>
  <si>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Boring (inkl. etablering, forerør, filter og prøvepumpning)</t>
  </si>
  <si>
    <t>30</t>
  </si>
  <si>
    <t>Sikring, avanceret (hegne, porte og overvågningssystemer), SRO</t>
  </si>
  <si>
    <t>10</t>
  </si>
  <si>
    <t>Skyllevandsbehandling, inkl. UV-filter mv., SRO</t>
  </si>
  <si>
    <t>SRO-anlæg, vandværk</t>
  </si>
  <si>
    <t>Elanlæg - vandværk</t>
  </si>
  <si>
    <t>25</t>
  </si>
  <si>
    <t>Sikring, avanceret (hegne, porte og overvågningssystemer), Mek./EL</t>
  </si>
  <si>
    <t>Skyllevandsbehandling, inkl. UV-filter mv., Mek./EL</t>
  </si>
  <si>
    <t>Udpumpningsanlæg, Freqvensomformer</t>
  </si>
  <si>
    <t>Udpumpningsanlæg, rentvandspumper på vandværk</t>
  </si>
  <si>
    <t>Rentvandsbeholder  element</t>
  </si>
  <si>
    <t>50</t>
  </si>
  <si>
    <t>Etageareal vandbehandlingsbygning</t>
  </si>
  <si>
    <t>75</t>
  </si>
  <si>
    <t>Stik på ledningsnet, Konstruktioner</t>
  </si>
  <si>
    <t>Ventiler på ledningsnet ≤ Ø50 mm</t>
  </si>
  <si>
    <t>Ventiler på Ø 250 mm &lt; Ledningsnet ≤ Ø 500mm</t>
  </si>
  <si>
    <t>Ø 250 mm &lt; Ledningsnet ≤ Ø 500mm</t>
  </si>
  <si>
    <t>Skyllevand-/slamhåndteringsanl. - åbne med faste sider/bund</t>
  </si>
  <si>
    <t>Hjemtagningssystem til elektroniske målere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</si>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</sst>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4" t="s">
        <v>206</v>
      </c>
      <c r="E8" s="64"/>
      <c r="F8" s="64"/>
      <c r="G8" s="6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151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207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40</v>
      </c>
      <c r="D15" s="56" t="s">
        <v>93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41</v>
      </c>
      <c r="D16" s="56" t="s">
        <v>152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150</v>
      </c>
      <c r="D17" s="56" t="s">
        <v>153</v>
      </c>
      <c r="E17" s="57"/>
      <c r="F17" s="57"/>
      <c r="G17" s="58"/>
      <c r="H17" s="1"/>
      <c r="I17" s="1"/>
    </row>
    <row r="18" spans="1:9" x14ac:dyDescent="0.45">
      <c r="A18" s="1"/>
      <c r="B18" s="1"/>
      <c r="C18" s="33" t="s">
        <v>134</v>
      </c>
      <c r="D18" s="65" t="s">
        <v>114</v>
      </c>
      <c r="E18" s="66"/>
      <c r="F18" s="66"/>
      <c r="G18" s="67"/>
      <c r="H18" s="1"/>
      <c r="I18" s="1"/>
    </row>
    <row r="19" spans="1:9" x14ac:dyDescent="0.45">
      <c r="A19" s="1"/>
      <c r="B19" s="1"/>
      <c r="C19" s="33" t="s">
        <v>135</v>
      </c>
      <c r="D19" s="65" t="s">
        <v>115</v>
      </c>
      <c r="E19" s="66"/>
      <c r="F19" s="66"/>
      <c r="G19" s="67"/>
      <c r="H19" s="1"/>
      <c r="I19" s="1"/>
    </row>
    <row r="20" spans="1:9" x14ac:dyDescent="0.45">
      <c r="A20" s="1"/>
      <c r="B20" s="1"/>
      <c r="C20" s="33" t="s">
        <v>7</v>
      </c>
      <c r="D20" s="65" t="s">
        <v>9</v>
      </c>
      <c r="E20" s="66"/>
      <c r="F20" s="66"/>
      <c r="G20" s="67"/>
      <c r="H20" s="1"/>
      <c r="I20" s="1"/>
    </row>
    <row r="21" spans="1:9" x14ac:dyDescent="0.45">
      <c r="A21" s="1"/>
      <c r="B21" s="1"/>
      <c r="C21" s="6" t="s">
        <v>136</v>
      </c>
      <c r="D21" s="71" t="s">
        <v>12</v>
      </c>
      <c r="E21" s="72"/>
      <c r="F21" s="72"/>
      <c r="G21" s="73"/>
      <c r="H21" s="1"/>
      <c r="I21" s="1"/>
    </row>
    <row r="22" spans="1:9" x14ac:dyDescent="0.45">
      <c r="A22" s="1"/>
      <c r="B22" s="1"/>
      <c r="C22" s="6" t="s">
        <v>97</v>
      </c>
      <c r="D22" s="60" t="s">
        <v>154</v>
      </c>
      <c r="E22" s="61"/>
      <c r="F22" s="61"/>
      <c r="G22" s="62"/>
      <c r="H22" s="1"/>
      <c r="I22" s="1"/>
    </row>
    <row r="23" spans="1:9" x14ac:dyDescent="0.45">
      <c r="A23" s="1"/>
      <c r="B23" s="1"/>
      <c r="C23" s="6" t="s">
        <v>8</v>
      </c>
      <c r="D23" s="60" t="s">
        <v>42</v>
      </c>
      <c r="E23" s="61"/>
      <c r="F23" s="61"/>
      <c r="G23" s="62"/>
      <c r="H23" s="1"/>
      <c r="I23" s="1"/>
    </row>
    <row r="24" spans="1:9" x14ac:dyDescent="0.45">
      <c r="A24" s="1"/>
      <c r="B24" s="1"/>
      <c r="C24" s="6" t="s">
        <v>217</v>
      </c>
      <c r="D24" s="60" t="s">
        <v>98</v>
      </c>
      <c r="E24" s="61"/>
      <c r="F24" s="61"/>
      <c r="G24" s="62"/>
      <c r="H24" s="1"/>
      <c r="I24" s="1"/>
    </row>
    <row r="25" spans="1:9" x14ac:dyDescent="0.45">
      <c r="A25" s="1"/>
      <c r="B25" s="1"/>
      <c r="C25" s="6" t="s">
        <v>218</v>
      </c>
      <c r="D25" s="60" t="s">
        <v>99</v>
      </c>
      <c r="E25" s="61"/>
      <c r="F25" s="61"/>
      <c r="G25" s="62"/>
      <c r="H25" s="1"/>
      <c r="I25" s="1"/>
    </row>
    <row r="26" spans="1:9" x14ac:dyDescent="0.45">
      <c r="A26" s="1"/>
      <c r="B26" s="1"/>
      <c r="C26" s="6" t="s">
        <v>219</v>
      </c>
      <c r="D26" s="60" t="s">
        <v>155</v>
      </c>
      <c r="E26" s="61"/>
      <c r="F26" s="61"/>
      <c r="G26" s="62"/>
      <c r="H26" s="1"/>
      <c r="I26" s="1"/>
    </row>
    <row r="27" spans="1:9" x14ac:dyDescent="0.45">
      <c r="A27" s="1"/>
      <c r="B27" s="1"/>
      <c r="C27" s="6" t="s">
        <v>137</v>
      </c>
      <c r="D27" s="60" t="s">
        <v>43</v>
      </c>
      <c r="E27" s="61"/>
      <c r="F27" s="61"/>
      <c r="G27" s="62"/>
      <c r="H27" s="1"/>
      <c r="I27" s="1"/>
    </row>
    <row r="28" spans="1:9" x14ac:dyDescent="0.45">
      <c r="A28" s="1"/>
      <c r="B28" s="1"/>
      <c r="C28" s="6" t="s">
        <v>128</v>
      </c>
      <c r="D28" s="68" t="s">
        <v>129</v>
      </c>
      <c r="E28" s="69"/>
      <c r="F28" s="69"/>
      <c r="G28" s="7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vsiowsJLNTVnvadLwtf0Kj2xNJ2zhGtw9ajPNU6QrYTG7tOnAeD0z8FzsqV+9+1nrJETvE1Z5I5KpfRkuf+kQ==" saltValue="D92XmlMqjXwMJkeetIhoqA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140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7" t="s">
        <v>168</v>
      </c>
      <c r="C8" s="98"/>
      <c r="D8" s="99"/>
      <c r="E8" s="1"/>
      <c r="F8" s="1"/>
    </row>
    <row r="9" spans="1:6" ht="15" customHeight="1" x14ac:dyDescent="0.45">
      <c r="A9" s="1"/>
      <c r="B9" s="50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3" t="s">
        <v>234</v>
      </c>
      <c r="C10" s="9">
        <v>57350352</v>
      </c>
      <c r="D10" s="14" t="s">
        <v>3</v>
      </c>
      <c r="E10" s="1"/>
      <c r="F10" s="1"/>
    </row>
    <row r="11" spans="1:6" ht="15" customHeight="1" x14ac:dyDescent="0.45">
      <c r="A11" s="1"/>
      <c r="B11" s="53" t="s">
        <v>235</v>
      </c>
      <c r="C11" s="9">
        <v>216016</v>
      </c>
      <c r="D11" s="14" t="s">
        <v>3</v>
      </c>
      <c r="E11" s="1"/>
      <c r="F11" s="1"/>
    </row>
    <row r="12" spans="1:6" ht="15" customHeight="1" x14ac:dyDescent="0.45">
      <c r="A12" s="1"/>
      <c r="B12" s="53" t="s">
        <v>236</v>
      </c>
      <c r="C12" s="9">
        <v>859546</v>
      </c>
      <c r="D12" s="14" t="s">
        <v>3</v>
      </c>
      <c r="E12" s="1"/>
      <c r="F12" s="1"/>
    </row>
    <row r="13" spans="1:6" x14ac:dyDescent="0.45">
      <c r="A13" s="1"/>
      <c r="B13" s="53" t="s">
        <v>237</v>
      </c>
      <c r="C13" s="9">
        <v>203623</v>
      </c>
      <c r="D13" s="14" t="s">
        <v>3</v>
      </c>
      <c r="E13" s="1"/>
      <c r="F13" s="1"/>
    </row>
    <row r="14" spans="1:6" x14ac:dyDescent="0.45">
      <c r="A14" s="1"/>
      <c r="B14" s="53" t="s">
        <v>238</v>
      </c>
      <c r="C14" s="9">
        <v>24969</v>
      </c>
      <c r="D14" s="14" t="s">
        <v>3</v>
      </c>
      <c r="E14" s="1"/>
      <c r="F14" s="1"/>
    </row>
    <row r="15" spans="1:6" x14ac:dyDescent="0.45">
      <c r="A15" s="1"/>
      <c r="B15" s="53" t="s">
        <v>239</v>
      </c>
      <c r="C15" s="9">
        <v>163118</v>
      </c>
      <c r="D15" s="14" t="s">
        <v>3</v>
      </c>
      <c r="E15" s="1"/>
      <c r="F15" s="1"/>
    </row>
    <row r="16" spans="1:6" x14ac:dyDescent="0.45">
      <c r="A16" s="1"/>
      <c r="B16" s="49" t="s">
        <v>249</v>
      </c>
      <c r="C16" s="9">
        <v>718779.06295953027</v>
      </c>
      <c r="D16" s="14" t="s">
        <v>3</v>
      </c>
      <c r="E16" s="1"/>
      <c r="F16" s="1"/>
    </row>
    <row r="17" spans="1:6" x14ac:dyDescent="0.45">
      <c r="A17" s="1"/>
      <c r="B17" s="44" t="s">
        <v>169</v>
      </c>
      <c r="C17" s="12">
        <f>SUM(C10:C16)</f>
        <v>59536403.062959529</v>
      </c>
      <c r="D17" s="13" t="s">
        <v>3</v>
      </c>
      <c r="E17" s="1"/>
      <c r="F17" s="1"/>
    </row>
    <row r="18" spans="1:6" x14ac:dyDescent="0.45">
      <c r="A18" s="1"/>
      <c r="B18" s="44" t="s">
        <v>170</v>
      </c>
      <c r="C18" s="12">
        <f>C17*(1+'Fane 12. Nøgletal'!C13)^2</f>
        <v>60997952.695927635</v>
      </c>
      <c r="D18" s="13" t="s">
        <v>3</v>
      </c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6"/>
      <c r="C20" s="15"/>
      <c r="D20" s="15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  <row r="54" spans="1:6" x14ac:dyDescent="0.45">
      <c r="A54" s="1"/>
      <c r="B54" s="1"/>
      <c r="C54" s="1"/>
      <c r="D54" s="1"/>
      <c r="E54" s="1"/>
      <c r="F54" s="1"/>
    </row>
  </sheetData>
  <sheetProtection algorithmName="SHA-512" hashValue="0EcsnYBfS6CziyAwX3vK5Sopr2NHtjJziQghr1gUA886sW82NBaBA8y3/89S79NpC29QVnOHZ+cOjJngTXpOXg==" saltValue="wM9sUWYtp8kGtnoeIVOJm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172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ht="15" customHeight="1" x14ac:dyDescent="0.45">
      <c r="A5" s="1"/>
      <c r="B5" s="48"/>
      <c r="C5" s="48"/>
      <c r="D5" s="48"/>
      <c r="E5" s="48"/>
      <c r="F5" s="48"/>
      <c r="G5" s="1"/>
    </row>
    <row r="6" spans="1:7" ht="15" customHeight="1" x14ac:dyDescent="0.4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45">
      <c r="A7" s="1"/>
      <c r="B7" s="100" t="s">
        <v>37</v>
      </c>
      <c r="C7" s="101"/>
      <c r="D7" s="102"/>
      <c r="E7" s="9">
        <v>-3733692.5304666664</v>
      </c>
      <c r="F7" s="14" t="s">
        <v>3</v>
      </c>
      <c r="G7" s="1"/>
    </row>
    <row r="8" spans="1:7" ht="15" customHeight="1" x14ac:dyDescent="0.45">
      <c r="A8" s="1"/>
      <c r="B8" s="100" t="s">
        <v>38</v>
      </c>
      <c r="C8" s="101"/>
      <c r="D8" s="102"/>
      <c r="E8" s="9">
        <v>17397572.707872562</v>
      </c>
      <c r="F8" s="14" t="s">
        <v>3</v>
      </c>
      <c r="G8" s="1"/>
    </row>
    <row r="9" spans="1:7" ht="15" customHeight="1" x14ac:dyDescent="0.45">
      <c r="A9" s="1"/>
      <c r="B9" s="108" t="s">
        <v>131</v>
      </c>
      <c r="C9" s="109"/>
      <c r="D9" s="110"/>
      <c r="E9" s="10">
        <f>SUM(E7:E8)</f>
        <v>13663880.177405896</v>
      </c>
      <c r="F9" s="17" t="s">
        <v>3</v>
      </c>
      <c r="G9" s="1"/>
    </row>
    <row r="10" spans="1:7" ht="15" customHeight="1" x14ac:dyDescent="0.45">
      <c r="A10" s="1"/>
      <c r="B10" s="44"/>
      <c r="C10" s="45"/>
      <c r="D10" s="45"/>
      <c r="E10" s="45"/>
      <c r="F10" s="20"/>
      <c r="G10" s="1"/>
    </row>
    <row r="11" spans="1:7" ht="28.5" customHeight="1" x14ac:dyDescent="0.45">
      <c r="A11" s="1"/>
      <c r="B11" s="76" t="s">
        <v>132</v>
      </c>
      <c r="C11" s="77"/>
      <c r="D11" s="77"/>
      <c r="E11" s="77"/>
      <c r="F11" s="78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7" t="s">
        <v>116</v>
      </c>
      <c r="C13" s="98"/>
      <c r="D13" s="98"/>
      <c r="E13" s="98"/>
      <c r="F13" s="99"/>
      <c r="G13" s="1"/>
    </row>
    <row r="14" spans="1:7" x14ac:dyDescent="0.45">
      <c r="A14" s="1"/>
      <c r="B14" s="100" t="s">
        <v>117</v>
      </c>
      <c r="C14" s="101"/>
      <c r="D14" s="102"/>
      <c r="E14" s="9">
        <v>156287485.1265671</v>
      </c>
      <c r="F14" s="14" t="s">
        <v>3</v>
      </c>
      <c r="G14" s="1"/>
    </row>
    <row r="15" spans="1:7" x14ac:dyDescent="0.45">
      <c r="A15" s="1"/>
      <c r="B15" s="100" t="s">
        <v>118</v>
      </c>
      <c r="C15" s="101"/>
      <c r="D15" s="102"/>
      <c r="E15" s="9">
        <v>128774883</v>
      </c>
      <c r="F15" s="14" t="s">
        <v>3</v>
      </c>
      <c r="G15" s="1"/>
    </row>
    <row r="16" spans="1:7" x14ac:dyDescent="0.45">
      <c r="A16" s="1"/>
      <c r="B16" s="100" t="s">
        <v>36</v>
      </c>
      <c r="C16" s="101"/>
      <c r="D16" s="102"/>
      <c r="E16" s="9">
        <v>0</v>
      </c>
      <c r="F16" s="14" t="s">
        <v>3</v>
      </c>
      <c r="G16" s="1"/>
    </row>
    <row r="17" spans="1:7" x14ac:dyDescent="0.45">
      <c r="A17" s="1"/>
      <c r="B17" s="108" t="s">
        <v>208</v>
      </c>
      <c r="C17" s="109"/>
      <c r="D17" s="110"/>
      <c r="E17" s="10">
        <f>E14-(E15-E16)</f>
        <v>27512602.126567096</v>
      </c>
      <c r="F17" s="17" t="s">
        <v>3</v>
      </c>
      <c r="G17" s="1"/>
    </row>
    <row r="18" spans="1:7" x14ac:dyDescent="0.45">
      <c r="A18" s="1"/>
      <c r="B18" s="44"/>
      <c r="C18" s="45"/>
      <c r="D18" s="45"/>
      <c r="E18" s="45"/>
      <c r="F18" s="20"/>
      <c r="G18" s="1"/>
    </row>
    <row r="19" spans="1:7" ht="30" customHeight="1" x14ac:dyDescent="0.45">
      <c r="A19" s="1"/>
      <c r="B19" s="76" t="s">
        <v>133</v>
      </c>
      <c r="C19" s="77"/>
      <c r="D19" s="77"/>
      <c r="E19" s="77"/>
      <c r="F19" s="7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7" t="s">
        <v>50</v>
      </c>
      <c r="C21" s="98"/>
      <c r="D21" s="98"/>
      <c r="E21" s="98"/>
      <c r="F21" s="99"/>
      <c r="G21" s="1"/>
    </row>
    <row r="22" spans="1:7" x14ac:dyDescent="0.45">
      <c r="A22" s="1"/>
      <c r="B22" s="100" t="s">
        <v>51</v>
      </c>
      <c r="C22" s="101"/>
      <c r="D22" s="102"/>
      <c r="E22" s="9">
        <v>150467507.19174114</v>
      </c>
      <c r="F22" s="14" t="s">
        <v>3</v>
      </c>
      <c r="G22" s="1"/>
    </row>
    <row r="23" spans="1:7" x14ac:dyDescent="0.45">
      <c r="A23" s="1"/>
      <c r="B23" s="100" t="s">
        <v>52</v>
      </c>
      <c r="C23" s="101"/>
      <c r="D23" s="102"/>
      <c r="E23" s="9">
        <v>131107309</v>
      </c>
      <c r="F23" s="14" t="s">
        <v>3</v>
      </c>
      <c r="G23" s="1"/>
    </row>
    <row r="24" spans="1:7" x14ac:dyDescent="0.45">
      <c r="A24" s="1"/>
      <c r="B24" s="100" t="s">
        <v>36</v>
      </c>
      <c r="C24" s="101"/>
      <c r="D24" s="102"/>
      <c r="E24" s="9">
        <v>35000</v>
      </c>
      <c r="F24" s="14" t="s">
        <v>3</v>
      </c>
      <c r="G24" s="1"/>
    </row>
    <row r="25" spans="1:7" x14ac:dyDescent="0.45">
      <c r="A25" s="1"/>
      <c r="B25" s="108" t="s">
        <v>209</v>
      </c>
      <c r="C25" s="109"/>
      <c r="D25" s="110"/>
      <c r="E25" s="10">
        <f>E22-(E23-E24)</f>
        <v>19395198.191741139</v>
      </c>
      <c r="F25" s="17" t="s">
        <v>3</v>
      </c>
      <c r="G25" s="1"/>
    </row>
    <row r="26" spans="1:7" x14ac:dyDescent="0.45">
      <c r="A26" s="1"/>
      <c r="B26" s="44"/>
      <c r="C26" s="45"/>
      <c r="D26" s="45"/>
      <c r="E26" s="45"/>
      <c r="F26" s="20"/>
      <c r="G26" s="1"/>
    </row>
    <row r="27" spans="1:7" ht="28.5" customHeight="1" x14ac:dyDescent="0.45">
      <c r="A27" s="1"/>
      <c r="B27" s="76" t="s">
        <v>179</v>
      </c>
      <c r="C27" s="77"/>
      <c r="D27" s="77"/>
      <c r="E27" s="77"/>
      <c r="F27" s="78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200</v>
      </c>
      <c r="C29" s="98"/>
      <c r="D29" s="98"/>
      <c r="E29" s="98"/>
      <c r="F29" s="99"/>
      <c r="G29" s="1"/>
    </row>
    <row r="30" spans="1:7" x14ac:dyDescent="0.45">
      <c r="A30" s="1"/>
      <c r="B30" s="100" t="s">
        <v>201</v>
      </c>
      <c r="C30" s="101"/>
      <c r="D30" s="102"/>
      <c r="E30" s="9">
        <v>163973561.15656826</v>
      </c>
      <c r="F30" s="14" t="s">
        <v>3</v>
      </c>
      <c r="G30" s="1"/>
    </row>
    <row r="31" spans="1:7" x14ac:dyDescent="0.45">
      <c r="A31" s="1"/>
      <c r="B31" s="100" t="s">
        <v>202</v>
      </c>
      <c r="C31" s="101"/>
      <c r="D31" s="102"/>
      <c r="E31" s="9">
        <v>138428090</v>
      </c>
      <c r="F31" s="14" t="s">
        <v>3</v>
      </c>
      <c r="G31" s="1"/>
    </row>
    <row r="32" spans="1:7" x14ac:dyDescent="0.45">
      <c r="A32" s="1"/>
      <c r="B32" s="100" t="s">
        <v>36</v>
      </c>
      <c r="C32" s="101"/>
      <c r="D32" s="102"/>
      <c r="E32" s="9">
        <v>40000</v>
      </c>
      <c r="F32" s="14" t="s">
        <v>3</v>
      </c>
      <c r="G32" s="1"/>
    </row>
    <row r="33" spans="1:7" x14ac:dyDescent="0.45">
      <c r="A33" s="1"/>
      <c r="B33" s="108" t="s">
        <v>210</v>
      </c>
      <c r="C33" s="109"/>
      <c r="D33" s="110"/>
      <c r="E33" s="10">
        <f>E30-(E31-E32)</f>
        <v>25585471.156568259</v>
      </c>
      <c r="F33" s="17" t="s">
        <v>3</v>
      </c>
      <c r="G33" s="1"/>
    </row>
    <row r="34" spans="1:7" x14ac:dyDescent="0.45">
      <c r="A34" s="1"/>
      <c r="B34" s="44"/>
      <c r="C34" s="45"/>
      <c r="D34" s="45"/>
      <c r="E34" s="45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7" t="s">
        <v>125</v>
      </c>
      <c r="C36" s="98"/>
      <c r="D36" s="98"/>
      <c r="E36" s="98"/>
      <c r="F36" s="99"/>
      <c r="G36" s="1"/>
    </row>
    <row r="37" spans="1:7" x14ac:dyDescent="0.45">
      <c r="A37" s="1"/>
      <c r="B37" s="111" t="s">
        <v>272</v>
      </c>
      <c r="C37" s="112"/>
      <c r="D37" s="113"/>
      <c r="E37" s="9">
        <v>1</v>
      </c>
      <c r="F37" s="14"/>
      <c r="G37" s="1"/>
    </row>
    <row r="38" spans="1:7" x14ac:dyDescent="0.45">
      <c r="A38" s="1"/>
      <c r="B38" s="111" t="s">
        <v>273</v>
      </c>
      <c r="C38" s="112"/>
      <c r="D38" s="113"/>
      <c r="E38" s="9">
        <v>1</v>
      </c>
      <c r="F38" s="14"/>
      <c r="G38" s="1"/>
    </row>
    <row r="39" spans="1:7" x14ac:dyDescent="0.4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45">
      <c r="A41" s="1"/>
      <c r="B41" s="114" t="s">
        <v>203</v>
      </c>
      <c r="C41" s="114"/>
      <c r="D41" s="114"/>
      <c r="E41" s="10">
        <f>E39/E40</f>
        <v>0</v>
      </c>
      <c r="F41" s="17" t="s">
        <v>3</v>
      </c>
      <c r="G41" s="1"/>
    </row>
    <row r="42" spans="1:7" x14ac:dyDescent="0.45">
      <c r="A42" s="1"/>
      <c r="B42" s="97"/>
      <c r="C42" s="98"/>
      <c r="D42" s="98"/>
      <c r="E42" s="98"/>
      <c r="F42" s="99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8Iv9SySmZG1KYl/37yUD1FbasHOTFdACzvePPRVilF4n73zJjbmcCZdkPFyHPtzCEBgi7H3gQfydnjhk2GbdrQ==" saltValue="0KMQARIzTtrG2aYy41hXcg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28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97" t="s">
        <v>197</v>
      </c>
      <c r="C7" s="98"/>
      <c r="D7" s="98"/>
      <c r="E7" s="98"/>
      <c r="F7" s="98"/>
      <c r="G7" s="98"/>
      <c r="H7" s="99"/>
      <c r="I7" s="1"/>
    </row>
    <row r="8" spans="1:9" ht="39.75" customHeight="1" x14ac:dyDescent="0.45">
      <c r="A8" s="1"/>
      <c r="B8" s="19" t="s">
        <v>0</v>
      </c>
      <c r="C8" s="19" t="s">
        <v>1</v>
      </c>
      <c r="D8" s="19" t="s">
        <v>10</v>
      </c>
      <c r="E8" s="11" t="s">
        <v>2</v>
      </c>
      <c r="F8" s="11" t="s">
        <v>11</v>
      </c>
      <c r="G8" s="11" t="s">
        <v>33</v>
      </c>
      <c r="H8" s="47"/>
      <c r="I8" s="1"/>
    </row>
    <row r="9" spans="1:9" ht="39.75" x14ac:dyDescent="0.45">
      <c r="A9" s="1"/>
      <c r="B9" s="40" t="s">
        <v>250</v>
      </c>
      <c r="C9" s="41" t="s">
        <v>251</v>
      </c>
      <c r="D9" s="9">
        <v>11059836</v>
      </c>
      <c r="E9" s="9">
        <f>IFERROR(D9/C9,0)</f>
        <v>368661.2</v>
      </c>
      <c r="F9" s="9">
        <v>0</v>
      </c>
      <c r="G9" s="9">
        <v>0</v>
      </c>
      <c r="H9" s="14" t="s">
        <v>3</v>
      </c>
      <c r="I9" s="1"/>
    </row>
    <row r="10" spans="1:9" ht="39.75" x14ac:dyDescent="0.45">
      <c r="A10" s="1"/>
      <c r="B10" s="40" t="s">
        <v>252</v>
      </c>
      <c r="C10" s="41" t="s">
        <v>253</v>
      </c>
      <c r="D10" s="9">
        <v>133397</v>
      </c>
      <c r="E10" s="9">
        <f t="shared" ref="E10:E24" si="0">IFERROR(D10/C10,0)</f>
        <v>13339.7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40" t="s">
        <v>254</v>
      </c>
      <c r="C11" s="41" t="s">
        <v>253</v>
      </c>
      <c r="D11" s="9">
        <v>1298848</v>
      </c>
      <c r="E11" s="9">
        <f t="shared" si="0"/>
        <v>129884.8</v>
      </c>
      <c r="F11" s="9">
        <v>0</v>
      </c>
      <c r="G11" s="9">
        <v>0</v>
      </c>
      <c r="H11" s="14" t="s">
        <v>3</v>
      </c>
      <c r="I11" s="1"/>
    </row>
    <row r="12" spans="1:9" x14ac:dyDescent="0.45">
      <c r="A12" s="1"/>
      <c r="B12" s="40" t="s">
        <v>255</v>
      </c>
      <c r="C12" s="41" t="s">
        <v>253</v>
      </c>
      <c r="D12" s="9">
        <v>162015</v>
      </c>
      <c r="E12" s="9">
        <f t="shared" si="0"/>
        <v>16201.5</v>
      </c>
      <c r="F12" s="9">
        <v>0</v>
      </c>
      <c r="G12" s="9">
        <v>0</v>
      </c>
      <c r="H12" s="14" t="s">
        <v>3</v>
      </c>
      <c r="I12" s="1"/>
    </row>
    <row r="13" spans="1:9" x14ac:dyDescent="0.45">
      <c r="A13" s="1"/>
      <c r="B13" s="40" t="s">
        <v>256</v>
      </c>
      <c r="C13" s="41" t="s">
        <v>257</v>
      </c>
      <c r="D13" s="9">
        <v>404612</v>
      </c>
      <c r="E13" s="9">
        <f t="shared" si="0"/>
        <v>16184.48</v>
      </c>
      <c r="F13" s="9">
        <v>0</v>
      </c>
      <c r="G13" s="9">
        <v>0</v>
      </c>
      <c r="H13" s="14" t="s">
        <v>3</v>
      </c>
      <c r="I13" s="1"/>
    </row>
    <row r="14" spans="1:9" ht="52.9" x14ac:dyDescent="0.45">
      <c r="A14" s="1"/>
      <c r="B14" s="40" t="s">
        <v>258</v>
      </c>
      <c r="C14" s="41" t="s">
        <v>257</v>
      </c>
      <c r="D14" s="9">
        <v>33349</v>
      </c>
      <c r="E14" s="9">
        <f t="shared" si="0"/>
        <v>1333.96</v>
      </c>
      <c r="F14" s="9">
        <v>0</v>
      </c>
      <c r="G14" s="9">
        <v>0</v>
      </c>
      <c r="H14" s="14" t="s">
        <v>3</v>
      </c>
      <c r="I14" s="1"/>
    </row>
    <row r="15" spans="1:9" ht="26.65" x14ac:dyDescent="0.45">
      <c r="A15" s="1"/>
      <c r="B15" s="40" t="s">
        <v>259</v>
      </c>
      <c r="C15" s="41" t="s">
        <v>257</v>
      </c>
      <c r="D15" s="9">
        <v>7360571</v>
      </c>
      <c r="E15" s="9">
        <f t="shared" si="0"/>
        <v>294422.84000000003</v>
      </c>
      <c r="F15" s="9">
        <v>0</v>
      </c>
      <c r="G15" s="9">
        <v>0</v>
      </c>
      <c r="H15" s="14" t="s">
        <v>3</v>
      </c>
      <c r="I15" s="1"/>
    </row>
    <row r="16" spans="1:9" ht="26.65" x14ac:dyDescent="0.45">
      <c r="A16" s="1"/>
      <c r="B16" s="40" t="s">
        <v>260</v>
      </c>
      <c r="C16" s="41" t="s">
        <v>257</v>
      </c>
      <c r="D16" s="9">
        <v>200377</v>
      </c>
      <c r="E16" s="9">
        <f t="shared" si="0"/>
        <v>8015.08</v>
      </c>
      <c r="F16" s="9">
        <v>0</v>
      </c>
      <c r="G16" s="9">
        <v>0</v>
      </c>
      <c r="H16" s="14" t="s">
        <v>3</v>
      </c>
      <c r="I16" s="1"/>
    </row>
    <row r="17" spans="1:9" ht="39.75" x14ac:dyDescent="0.45">
      <c r="A17" s="1"/>
      <c r="B17" s="40" t="s">
        <v>261</v>
      </c>
      <c r="C17" s="41" t="s">
        <v>257</v>
      </c>
      <c r="D17" s="9">
        <v>369790</v>
      </c>
      <c r="E17" s="9">
        <f t="shared" si="0"/>
        <v>14791.6</v>
      </c>
      <c r="F17" s="9">
        <v>0</v>
      </c>
      <c r="G17" s="9">
        <v>0</v>
      </c>
      <c r="H17" s="14" t="s">
        <v>3</v>
      </c>
      <c r="I17" s="1"/>
    </row>
    <row r="18" spans="1:9" x14ac:dyDescent="0.45">
      <c r="A18" s="1"/>
      <c r="B18" s="40" t="s">
        <v>262</v>
      </c>
      <c r="C18" s="41" t="s">
        <v>263</v>
      </c>
      <c r="D18" s="9">
        <v>2559560</v>
      </c>
      <c r="E18" s="9">
        <f t="shared" si="0"/>
        <v>51191.199999999997</v>
      </c>
      <c r="F18" s="9">
        <v>0</v>
      </c>
      <c r="G18" s="9">
        <v>0</v>
      </c>
      <c r="H18" s="14" t="s">
        <v>3</v>
      </c>
      <c r="I18" s="1"/>
    </row>
    <row r="19" spans="1:9" ht="26.65" x14ac:dyDescent="0.45">
      <c r="A19" s="1"/>
      <c r="B19" s="40" t="s">
        <v>264</v>
      </c>
      <c r="C19" s="41" t="s">
        <v>265</v>
      </c>
      <c r="D19" s="9">
        <v>12009609</v>
      </c>
      <c r="E19" s="9">
        <f t="shared" si="0"/>
        <v>160128.12</v>
      </c>
      <c r="F19" s="9">
        <v>0</v>
      </c>
      <c r="G19" s="9">
        <v>0</v>
      </c>
      <c r="H19" s="14" t="s">
        <v>3</v>
      </c>
      <c r="I19" s="1"/>
    </row>
    <row r="20" spans="1:9" ht="26.65" x14ac:dyDescent="0.45">
      <c r="A20" s="1"/>
      <c r="B20" s="40" t="s">
        <v>266</v>
      </c>
      <c r="C20" s="41" t="s">
        <v>265</v>
      </c>
      <c r="D20" s="9">
        <v>6710</v>
      </c>
      <c r="E20" s="9">
        <f t="shared" si="0"/>
        <v>89.466666666666669</v>
      </c>
      <c r="F20" s="9">
        <v>0</v>
      </c>
      <c r="G20" s="9">
        <v>0</v>
      </c>
      <c r="H20" s="14" t="s">
        <v>3</v>
      </c>
      <c r="I20" s="1"/>
    </row>
    <row r="21" spans="1:9" ht="26.65" x14ac:dyDescent="0.45">
      <c r="A21" s="1"/>
      <c r="B21" s="40" t="s">
        <v>267</v>
      </c>
      <c r="C21" s="41" t="s">
        <v>265</v>
      </c>
      <c r="D21" s="9">
        <v>4579</v>
      </c>
      <c r="E21" s="9">
        <f t="shared" si="0"/>
        <v>61.053333333333335</v>
      </c>
      <c r="F21" s="9">
        <v>0</v>
      </c>
      <c r="G21" s="9">
        <v>0</v>
      </c>
      <c r="H21" s="14" t="s">
        <v>3</v>
      </c>
      <c r="I21" s="1"/>
    </row>
    <row r="22" spans="1:9" ht="26.65" x14ac:dyDescent="0.45">
      <c r="A22" s="1"/>
      <c r="B22" s="40" t="s">
        <v>268</v>
      </c>
      <c r="C22" s="41" t="s">
        <v>265</v>
      </c>
      <c r="D22" s="9">
        <v>92731</v>
      </c>
      <c r="E22" s="9">
        <f t="shared" si="0"/>
        <v>1236.4133333333334</v>
      </c>
      <c r="F22" s="9">
        <v>0</v>
      </c>
      <c r="G22" s="9">
        <v>0</v>
      </c>
      <c r="H22" s="14" t="s">
        <v>3</v>
      </c>
      <c r="I22" s="1"/>
    </row>
    <row r="23" spans="1:9" ht="26.65" x14ac:dyDescent="0.45">
      <c r="A23" s="1"/>
      <c r="B23" s="40" t="s">
        <v>269</v>
      </c>
      <c r="C23" s="41" t="s">
        <v>265</v>
      </c>
      <c r="D23" s="9">
        <v>388037</v>
      </c>
      <c r="E23" s="9">
        <f t="shared" si="0"/>
        <v>5173.8266666666668</v>
      </c>
      <c r="F23" s="9">
        <v>0</v>
      </c>
      <c r="G23" s="9">
        <v>0</v>
      </c>
      <c r="H23" s="14" t="s">
        <v>3</v>
      </c>
      <c r="I23" s="1"/>
    </row>
    <row r="24" spans="1:9" ht="26.65" x14ac:dyDescent="0.45">
      <c r="A24" s="1"/>
      <c r="B24" s="40" t="s">
        <v>254</v>
      </c>
      <c r="C24" s="41" t="s">
        <v>253</v>
      </c>
      <c r="D24" s="9">
        <v>1251387</v>
      </c>
      <c r="E24" s="9">
        <f t="shared" si="0"/>
        <v>125138.7</v>
      </c>
      <c r="F24" s="9">
        <v>0</v>
      </c>
      <c r="G24" s="9">
        <v>0</v>
      </c>
      <c r="H24" s="14" t="s">
        <v>3</v>
      </c>
      <c r="I24" s="1"/>
    </row>
    <row r="25" spans="1:9" ht="39.75" x14ac:dyDescent="0.45">
      <c r="A25" s="1"/>
      <c r="B25" s="40" t="s">
        <v>270</v>
      </c>
      <c r="C25" s="41" t="s">
        <v>263</v>
      </c>
      <c r="D25" s="9">
        <v>1968686</v>
      </c>
      <c r="E25" s="9">
        <f t="shared" ref="E25:E26" si="1">IFERROR(D25/C25,0)</f>
        <v>39373.72</v>
      </c>
      <c r="F25" s="9">
        <v>0</v>
      </c>
      <c r="G25" s="9">
        <v>0</v>
      </c>
      <c r="H25" s="14" t="s">
        <v>3</v>
      </c>
      <c r="I25" s="1"/>
    </row>
    <row r="26" spans="1:9" ht="26.65" x14ac:dyDescent="0.45">
      <c r="A26" s="1"/>
      <c r="B26" s="40" t="s">
        <v>271</v>
      </c>
      <c r="C26" s="41" t="s">
        <v>253</v>
      </c>
      <c r="D26" s="9">
        <v>1033495</v>
      </c>
      <c r="E26" s="9">
        <f t="shared" si="1"/>
        <v>103349.5</v>
      </c>
      <c r="F26" s="9">
        <v>0</v>
      </c>
      <c r="G26" s="9">
        <v>0</v>
      </c>
      <c r="H26" s="14" t="s">
        <v>3</v>
      </c>
      <c r="I26" s="1"/>
    </row>
    <row r="27" spans="1:9" x14ac:dyDescent="0.45">
      <c r="A27" s="1"/>
      <c r="B27" s="97" t="s">
        <v>198</v>
      </c>
      <c r="C27" s="98"/>
      <c r="D27" s="99"/>
      <c r="E27" s="12">
        <f>SUM(E9:E26)</f>
        <v>1348577.1599999997</v>
      </c>
      <c r="F27" s="12">
        <f t="shared" ref="F27:G27" si="2">SUM(F9:F26)</f>
        <v>0</v>
      </c>
      <c r="G27" s="12">
        <f t="shared" si="2"/>
        <v>0</v>
      </c>
      <c r="H27" s="13" t="s">
        <v>3</v>
      </c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</sheetData>
  <sheetProtection algorithmName="SHA-512" hashValue="b3yo+bZsoYo3gUwyzmL/9hS7vPnw8x0xqsns09pGOUmmkldIfYdIXCeoyTFL4lyQyOUIQ0AlbiEKBS0HZcRwAw==" saltValue="vuiVBY9qaXRxdOeRW2nV8A==" spinCount="100000" sheet="1" objects="1" scenarios="1"/>
  <mergeCells count="3">
    <mergeCell ref="B3:H4"/>
    <mergeCell ref="B27:D27"/>
    <mergeCell ref="B7:H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94</v>
      </c>
      <c r="C8" s="45"/>
      <c r="D8" s="45"/>
      <c r="E8" s="45"/>
      <c r="F8" s="20"/>
      <c r="G8" s="1"/>
    </row>
    <row r="9" spans="1:7" ht="17.25" customHeight="1" x14ac:dyDescent="0.45">
      <c r="A9" s="1"/>
      <c r="B9" s="51" t="s">
        <v>16</v>
      </c>
      <c r="C9" s="51" t="s">
        <v>11</v>
      </c>
      <c r="D9" s="52"/>
      <c r="E9" s="51" t="s">
        <v>34</v>
      </c>
      <c r="F9" s="47"/>
      <c r="G9" s="1"/>
    </row>
    <row r="10" spans="1:7" x14ac:dyDescent="0.45">
      <c r="A10" s="1"/>
      <c r="B10" s="25" t="s">
        <v>44</v>
      </c>
      <c r="C10" s="22">
        <f>'Fane 8. Anlægsprojekter'!F27</f>
        <v>0</v>
      </c>
      <c r="D10" s="14" t="s">
        <v>3</v>
      </c>
      <c r="E10" s="9">
        <f>SUM('Fane 8. Anlægsprojekter'!E27,'Fane 8. Anlægsprojekter'!G27)</f>
        <v>1348577.1599999997</v>
      </c>
      <c r="F10" s="14" t="s">
        <v>3</v>
      </c>
      <c r="G10" s="1"/>
    </row>
    <row r="11" spans="1:7" x14ac:dyDescent="0.45">
      <c r="A11" s="1"/>
      <c r="B11" s="42" t="s">
        <v>242</v>
      </c>
      <c r="C11" s="22">
        <v>0</v>
      </c>
      <c r="D11" s="14" t="s">
        <v>3</v>
      </c>
      <c r="E11" s="9">
        <v>28690</v>
      </c>
      <c r="F11" s="14" t="s">
        <v>3</v>
      </c>
      <c r="G11" s="1"/>
    </row>
    <row r="12" spans="1:7" x14ac:dyDescent="0.45">
      <c r="A12" s="1"/>
      <c r="B12" s="25" t="s">
        <v>243</v>
      </c>
      <c r="C12" s="22">
        <v>245000</v>
      </c>
      <c r="D12" s="14" t="s">
        <v>3</v>
      </c>
      <c r="E12" s="9">
        <v>73477</v>
      </c>
      <c r="F12" s="14" t="s">
        <v>3</v>
      </c>
      <c r="G12" s="1"/>
    </row>
    <row r="13" spans="1:7" x14ac:dyDescent="0.45">
      <c r="A13" s="1"/>
      <c r="B13" s="44" t="s">
        <v>48</v>
      </c>
      <c r="C13" s="12">
        <f>SUM(C10:C12)</f>
        <v>245000</v>
      </c>
      <c r="D13" s="13" t="s">
        <v>3</v>
      </c>
      <c r="E13" s="12">
        <f>SUM(E10:E12)</f>
        <v>1450744.1599999997</v>
      </c>
      <c r="F13" s="13" t="s">
        <v>3</v>
      </c>
      <c r="G13" s="1"/>
    </row>
    <row r="14" spans="1:7" x14ac:dyDescent="0.45">
      <c r="A14" s="1"/>
      <c r="B14" s="44" t="s">
        <v>173</v>
      </c>
      <c r="C14" s="12">
        <f>C13*(1+'Fane 12. Nøgletal'!C13)</f>
        <v>247989</v>
      </c>
      <c r="D14" s="13" t="s">
        <v>3</v>
      </c>
      <c r="E14" s="12">
        <f>E13*(1+'Fane 12. Nøgletal'!C13)</f>
        <v>1468443.2387519996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33b/r84t+N3zJ73J5b1XZOirsugtsJd5FmmBY4XGn+c2+RNjnha9Bs9iDUbjuRkF6Z/eYPX5UgBVccn7pWMRnw==" saltValue="x36tS7oZwubzwUfgcKJ2E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119</v>
      </c>
      <c r="C8" s="98"/>
      <c r="D8" s="98"/>
      <c r="E8" s="98"/>
      <c r="F8" s="99"/>
      <c r="G8" s="1"/>
    </row>
    <row r="9" spans="1:7" x14ac:dyDescent="0.45">
      <c r="A9" s="1"/>
      <c r="B9" s="51" t="s">
        <v>16</v>
      </c>
      <c r="C9" s="51" t="s">
        <v>11</v>
      </c>
      <c r="D9" s="52"/>
      <c r="E9" s="51" t="s">
        <v>34</v>
      </c>
      <c r="F9" s="47"/>
      <c r="G9" s="1"/>
    </row>
    <row r="10" spans="1:7" x14ac:dyDescent="0.45">
      <c r="A10" s="1"/>
      <c r="B10" s="25" t="s">
        <v>244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4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4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7" t="s">
        <v>120</v>
      </c>
      <c r="C16" s="98"/>
      <c r="D16" s="98"/>
      <c r="E16" s="98"/>
      <c r="F16" s="99"/>
      <c r="G16" s="1"/>
    </row>
    <row r="17" spans="1:7" x14ac:dyDescent="0.45">
      <c r="A17" s="1"/>
      <c r="B17" s="51" t="s">
        <v>16</v>
      </c>
      <c r="C17" s="51" t="s">
        <v>11</v>
      </c>
      <c r="D17" s="52"/>
      <c r="E17" s="51" t="s">
        <v>34</v>
      </c>
      <c r="F17" s="47"/>
      <c r="G17" s="1"/>
    </row>
    <row r="18" spans="1:7" x14ac:dyDescent="0.45">
      <c r="A18" s="1"/>
      <c r="B18" s="25" t="s">
        <v>244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4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4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7" t="s">
        <v>121</v>
      </c>
      <c r="C24" s="98"/>
      <c r="D24" s="98"/>
      <c r="E24" s="98"/>
      <c r="F24" s="99"/>
      <c r="G24" s="1"/>
    </row>
    <row r="25" spans="1:7" x14ac:dyDescent="0.45">
      <c r="A25" s="1"/>
      <c r="B25" s="51" t="s">
        <v>16</v>
      </c>
      <c r="C25" s="51" t="s">
        <v>11</v>
      </c>
      <c r="D25" s="52"/>
      <c r="E25" s="51" t="s">
        <v>34</v>
      </c>
      <c r="F25" s="47"/>
      <c r="G25" s="1"/>
    </row>
    <row r="26" spans="1:7" x14ac:dyDescent="0.45">
      <c r="A26" s="1"/>
      <c r="B26" s="25" t="s">
        <v>244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4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4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7" t="s">
        <v>176</v>
      </c>
      <c r="C32" s="98"/>
      <c r="D32" s="98"/>
      <c r="E32" s="98"/>
      <c r="F32" s="99"/>
      <c r="G32" s="1"/>
    </row>
    <row r="33" spans="1:7" x14ac:dyDescent="0.45">
      <c r="A33" s="1"/>
      <c r="B33" s="51" t="s">
        <v>16</v>
      </c>
      <c r="C33" s="51" t="s">
        <v>11</v>
      </c>
      <c r="D33" s="52"/>
      <c r="E33" s="51" t="s">
        <v>34</v>
      </c>
      <c r="F33" s="47"/>
      <c r="G33" s="1"/>
    </row>
    <row r="34" spans="1:7" x14ac:dyDescent="0.45">
      <c r="A34" s="1"/>
      <c r="B34" s="25" t="s">
        <v>244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4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4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S9qVLueimylMQTKQmLSdilggQ26tdaTnI9BJDF90klu2gYUFiQ6cDC8jfEAmA3zw/ABiiAWqWKUTHlZUvoNxZQ==" saltValue="0WiW4Z2Vp4c91oIKnDUUl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213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45">
      <c r="A9" s="1"/>
      <c r="B9" s="46" t="s">
        <v>157</v>
      </c>
      <c r="C9" s="88" t="s">
        <v>11</v>
      </c>
      <c r="D9" s="90"/>
      <c r="E9" s="88" t="s">
        <v>34</v>
      </c>
      <c r="F9" s="90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2a3PcPwlAkjGnyRX7CcEmCBkCHeTBz2+fHz2VtURUbkr3yHjYjqS4hinATN72pgRIzx6rR46ev47Y5h6fL3aHw==" saltValue="bUf2jtsDx4BCXz+bwNuwo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212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45">
      <c r="A9" s="1"/>
      <c r="B9" s="46" t="s">
        <v>17</v>
      </c>
      <c r="C9" s="46" t="s">
        <v>11</v>
      </c>
      <c r="D9" s="47"/>
      <c r="E9" s="46" t="s">
        <v>34</v>
      </c>
      <c r="F9" s="47"/>
      <c r="G9" s="1"/>
    </row>
    <row r="10" spans="1:7" x14ac:dyDescent="0.45">
      <c r="A10" s="1"/>
      <c r="B10" s="25" t="s">
        <v>241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4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4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7" t="s">
        <v>110</v>
      </c>
      <c r="C15" s="98"/>
      <c r="D15" s="98"/>
      <c r="E15" s="98"/>
      <c r="F15" s="99"/>
      <c r="G15" s="1"/>
    </row>
    <row r="16" spans="1:7" x14ac:dyDescent="0.45">
      <c r="A16" s="1"/>
      <c r="B16" s="46" t="s">
        <v>17</v>
      </c>
      <c r="C16" s="46" t="s">
        <v>11</v>
      </c>
      <c r="D16" s="47"/>
      <c r="E16" s="46" t="s">
        <v>34</v>
      </c>
      <c r="F16" s="47"/>
      <c r="G16" s="1"/>
    </row>
    <row r="17" spans="1:7" x14ac:dyDescent="0.45">
      <c r="A17" s="1"/>
      <c r="B17" s="25" t="s">
        <v>241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4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4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7" t="s">
        <v>112</v>
      </c>
      <c r="C22" s="98"/>
      <c r="D22" s="98"/>
      <c r="E22" s="98"/>
      <c r="F22" s="99"/>
      <c r="G22" s="1"/>
    </row>
    <row r="23" spans="1:7" x14ac:dyDescent="0.45">
      <c r="A23" s="1"/>
      <c r="B23" s="46" t="s">
        <v>17</v>
      </c>
      <c r="C23" s="46" t="s">
        <v>11</v>
      </c>
      <c r="D23" s="47"/>
      <c r="E23" s="46" t="s">
        <v>34</v>
      </c>
      <c r="F23" s="47"/>
      <c r="G23" s="1"/>
    </row>
    <row r="24" spans="1:7" x14ac:dyDescent="0.45">
      <c r="A24" s="1"/>
      <c r="B24" s="25" t="s">
        <v>241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4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4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182</v>
      </c>
      <c r="C29" s="98"/>
      <c r="D29" s="98"/>
      <c r="E29" s="98"/>
      <c r="F29" s="99"/>
      <c r="G29" s="1"/>
    </row>
    <row r="30" spans="1:7" x14ac:dyDescent="0.45">
      <c r="A30" s="1"/>
      <c r="B30" s="46" t="s">
        <v>17</v>
      </c>
      <c r="C30" s="46" t="s">
        <v>11</v>
      </c>
      <c r="D30" s="47"/>
      <c r="E30" s="46" t="s">
        <v>34</v>
      </c>
      <c r="F30" s="47"/>
      <c r="G30" s="1"/>
    </row>
    <row r="31" spans="1:7" x14ac:dyDescent="0.45">
      <c r="A31" s="1"/>
      <c r="B31" s="25" t="s">
        <v>241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4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4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i4IBnGNcxr5WcuzKRmJ+FolYptiUBBbLFW1Pe+thDiBg0g8ahlWEGxwmbyxuXbKDco0sBuHPBndvM27/i1n+Sg==" saltValue="2z59nEfCYYY/N+aO6XJ6J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3" t="s">
        <v>211</v>
      </c>
      <c r="C3" s="93"/>
      <c r="D3" s="1"/>
    </row>
    <row r="4" spans="1:4" ht="25.5" customHeight="1" x14ac:dyDescent="0.45">
      <c r="A4" s="1"/>
      <c r="B4" s="93"/>
      <c r="C4" s="9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20"/>
      <c r="D8" s="1"/>
    </row>
    <row r="9" spans="1:4" x14ac:dyDescent="0.45">
      <c r="A9" s="1"/>
      <c r="B9" s="53" t="s">
        <v>141</v>
      </c>
      <c r="C9" s="26">
        <v>1.2699999999999999E-2</v>
      </c>
      <c r="D9" s="1"/>
    </row>
    <row r="10" spans="1:4" x14ac:dyDescent="0.45">
      <c r="A10" s="1"/>
      <c r="B10" s="53" t="s">
        <v>22</v>
      </c>
      <c r="C10" s="26">
        <v>1.7500000000000002E-2</v>
      </c>
      <c r="D10" s="1"/>
    </row>
    <row r="11" spans="1:4" x14ac:dyDescent="0.45">
      <c r="A11" s="1"/>
      <c r="B11" s="53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7"/>
      <c r="C14" s="99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126</v>
      </c>
      <c r="C17" s="20"/>
      <c r="D17" s="1"/>
    </row>
    <row r="18" spans="1:4" x14ac:dyDescent="0.45">
      <c r="A18" s="1"/>
      <c r="B18" s="53" t="s">
        <v>143</v>
      </c>
      <c r="C18" s="23">
        <v>9.1000000000000004E-3</v>
      </c>
      <c r="D18" s="1"/>
    </row>
    <row r="19" spans="1:4" x14ac:dyDescent="0.45">
      <c r="A19" s="1"/>
      <c r="B19" s="53" t="s">
        <v>144</v>
      </c>
      <c r="C19" s="23">
        <v>1.77E-2</v>
      </c>
      <c r="D19" s="1"/>
    </row>
    <row r="20" spans="1:4" x14ac:dyDescent="0.45">
      <c r="A20" s="1"/>
      <c r="B20" s="53" t="s">
        <v>145</v>
      </c>
      <c r="C20" s="23">
        <v>8.6999999999999994E-3</v>
      </c>
      <c r="D20" s="1"/>
    </row>
    <row r="21" spans="1:4" x14ac:dyDescent="0.45">
      <c r="A21" s="1"/>
      <c r="B21" s="53" t="s">
        <v>146</v>
      </c>
      <c r="C21" s="36">
        <v>2.8400000000000002E-2</v>
      </c>
      <c r="D21" s="1"/>
    </row>
    <row r="22" spans="1:4" x14ac:dyDescent="0.45">
      <c r="A22" s="1"/>
      <c r="B22" s="53" t="s">
        <v>186</v>
      </c>
      <c r="C22" s="36">
        <v>2.75E-2</v>
      </c>
      <c r="D22" s="1"/>
    </row>
    <row r="23" spans="1:4" x14ac:dyDescent="0.45">
      <c r="A23" s="1"/>
      <c r="B23" s="44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4" t="s">
        <v>127</v>
      </c>
      <c r="C26" s="20"/>
      <c r="D26" s="1"/>
    </row>
    <row r="27" spans="1:4" x14ac:dyDescent="0.45">
      <c r="A27" s="1"/>
      <c r="B27" s="53" t="s">
        <v>147</v>
      </c>
      <c r="C27" s="26">
        <v>0.02</v>
      </c>
      <c r="D27" s="1"/>
    </row>
    <row r="28" spans="1:4" x14ac:dyDescent="0.45">
      <c r="A28" s="1"/>
      <c r="B28" s="44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mtS85wLRO5a7uvzlhPI0aFcEYjJtGPevNEQciJxXDI5QwGW1m9dEXuov+ocRbHnEnbtQ+kIkCV+wCb8rdK/Y3w==" saltValue="x1gDsZKuCpJarMLEIKBKAg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161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4" t="s">
        <v>13</v>
      </c>
      <c r="C8" s="45"/>
      <c r="D8" s="20"/>
      <c r="E8" s="1"/>
    </row>
    <row r="9" spans="1:5" x14ac:dyDescent="0.45">
      <c r="A9" s="1"/>
      <c r="B9" s="49" t="s">
        <v>25</v>
      </c>
      <c r="C9" s="7">
        <f>'Fane 3. Omkostninger i ØR2020'!E20</f>
        <v>101109754.36173624</v>
      </c>
      <c r="D9" s="8" t="s">
        <v>3</v>
      </c>
      <c r="E9" s="1"/>
    </row>
    <row r="10" spans="1:5" x14ac:dyDescent="0.45">
      <c r="A10" s="1"/>
      <c r="B10" s="49" t="s">
        <v>246</v>
      </c>
      <c r="C10" s="7">
        <v>-86407.442842250835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tillæg'!C14</f>
        <v>247989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tillæg'!E14</f>
        <v>1468443.2387519996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1253425.3057232811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-1264402.2241707386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-769927.63847377605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-1954526.0684484656</v>
      </c>
      <c r="D20" s="8" t="s">
        <v>3</v>
      </c>
      <c r="E20" s="1"/>
    </row>
    <row r="21" spans="1:5" ht="17.100000000000001" customHeight="1" x14ac:dyDescent="0.45">
      <c r="A21" s="1"/>
      <c r="B21" s="54" t="s">
        <v>20</v>
      </c>
      <c r="C21" s="10">
        <f>SUM(C9:C20)</f>
        <v>100004348.53227627</v>
      </c>
      <c r="D21" s="11" t="s">
        <v>3</v>
      </c>
      <c r="E21" s="1"/>
    </row>
    <row r="22" spans="1:5" ht="15" customHeight="1" x14ac:dyDescent="0.45">
      <c r="A22" s="1"/>
      <c r="B22" s="44" t="s">
        <v>12</v>
      </c>
      <c r="C22" s="45"/>
      <c r="D22" s="20"/>
      <c r="E22" s="1"/>
    </row>
    <row r="23" spans="1:5" ht="15" customHeight="1" x14ac:dyDescent="0.45">
      <c r="A23" s="1"/>
      <c r="B23" s="46" t="s">
        <v>12</v>
      </c>
      <c r="C23" s="10">
        <f>'Fane 6. Ikke-påvirkelige omk.'!C18</f>
        <v>60997952.695927635</v>
      </c>
      <c r="D23" s="11" t="s">
        <v>3</v>
      </c>
      <c r="E23" s="1"/>
    </row>
    <row r="24" spans="1:5" ht="15" customHeight="1" x14ac:dyDescent="0.45">
      <c r="A24" s="1"/>
      <c r="B24" s="44" t="s">
        <v>99</v>
      </c>
      <c r="C24" s="45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4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45"/>
      <c r="D28" s="20"/>
      <c r="E28" s="1"/>
    </row>
    <row r="29" spans="1:5" x14ac:dyDescent="0.45">
      <c r="A29" s="1"/>
      <c r="B29" s="39" t="s">
        <v>205</v>
      </c>
      <c r="C29" s="10">
        <f>'Fane 7. Kontrol af ØR2019'!E41</f>
        <v>0</v>
      </c>
      <c r="D29" s="11" t="s">
        <v>3</v>
      </c>
      <c r="E29" s="1"/>
    </row>
    <row r="30" spans="1:5" x14ac:dyDescent="0.45">
      <c r="A30" s="1"/>
      <c r="B30" s="38" t="s">
        <v>247</v>
      </c>
      <c r="C30" s="45"/>
      <c r="D30" s="20"/>
      <c r="E30" s="1"/>
    </row>
    <row r="31" spans="1:5" x14ac:dyDescent="0.45">
      <c r="A31" s="1"/>
      <c r="B31" s="39" t="s">
        <v>248</v>
      </c>
      <c r="C31" s="10">
        <v>3069.7171031860566</v>
      </c>
      <c r="D31" s="11" t="s">
        <v>3</v>
      </c>
      <c r="E31" s="1"/>
    </row>
    <row r="32" spans="1:5" x14ac:dyDescent="0.45">
      <c r="A32" s="1"/>
      <c r="B32" s="44" t="s">
        <v>31</v>
      </c>
      <c r="C32" s="32">
        <f>SUM(C21,C23,C27,C29,C31)</f>
        <v>161005370.94530708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je/uYXeO2weueImD5ZvBSTlT+QpS1Xw7iWk5mNX/Zipf1snyNPrkh+mcigvsJcc8DDR6xzqa70IluAno7pKzOw==" saltValue="fMV9wjRleQ8JdNdu748Sn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59765625" style="2" customWidth="1"/>
    <col min="3" max="3" width="11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162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/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4" t="s">
        <v>13</v>
      </c>
      <c r="C8" s="45"/>
      <c r="D8" s="20"/>
      <c r="E8" s="1"/>
    </row>
    <row r="9" spans="1:5" ht="15" customHeight="1" x14ac:dyDescent="0.45">
      <c r="A9" s="1"/>
      <c r="B9" s="49" t="s">
        <v>26</v>
      </c>
      <c r="C9" s="7">
        <f>'Fane 2.1. Økonomisk ramme 2021'!C21</f>
        <v>100004348.53227627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3" t="s">
        <v>18</v>
      </c>
      <c r="C12" s="9">
        <f>SUM(C9:C11)*'Fane 12. Nøgletal'!C13</f>
        <v>1220053.0520937706</v>
      </c>
      <c r="D12" s="8" t="s">
        <v>3</v>
      </c>
      <c r="E12" s="1"/>
    </row>
    <row r="13" spans="1:5" ht="15" customHeight="1" x14ac:dyDescent="0.45">
      <c r="A13" s="1"/>
      <c r="B13" s="43" t="s">
        <v>9</v>
      </c>
      <c r="C13" s="9">
        <f>-SUM(C9:C12)*'Fane 5. Individuelt eff. krav'!G10</f>
        <v>-1230737.7117964698</v>
      </c>
      <c r="D13" s="8" t="s">
        <v>3</v>
      </c>
      <c r="E13" s="1"/>
    </row>
    <row r="14" spans="1:5" ht="15" customHeight="1" x14ac:dyDescent="0.45">
      <c r="A14" s="1"/>
      <c r="B14" s="43" t="s">
        <v>27</v>
      </c>
      <c r="C14" s="9">
        <f>-'Fane 4.1. Gen. krav - drift'!G37</f>
        <v>-763734.34054989298</v>
      </c>
      <c r="D14" s="8" t="s">
        <v>3</v>
      </c>
      <c r="E14" s="1"/>
    </row>
    <row r="15" spans="1:5" ht="15" customHeight="1" x14ac:dyDescent="0.45">
      <c r="A15" s="1"/>
      <c r="B15" s="43" t="s">
        <v>28</v>
      </c>
      <c r="C15" s="9">
        <f>-'Fane 4.2. Gen. krav - anlæg'!G37</f>
        <v>-1923966.0761052393</v>
      </c>
      <c r="D15" s="8" t="s">
        <v>3</v>
      </c>
      <c r="E15" s="1"/>
    </row>
    <row r="16" spans="1:5" ht="15" customHeight="1" x14ac:dyDescent="0.45">
      <c r="A16" s="1"/>
      <c r="B16" s="50" t="s">
        <v>20</v>
      </c>
      <c r="C16" s="10">
        <f>SUM(C9:C15)</f>
        <v>97305963.455918461</v>
      </c>
      <c r="D16" s="11" t="s">
        <v>3</v>
      </c>
      <c r="E16" s="1"/>
    </row>
    <row r="17" spans="1:5" x14ac:dyDescent="0.45">
      <c r="A17" s="1"/>
      <c r="B17" s="44" t="s">
        <v>12</v>
      </c>
      <c r="C17" s="45"/>
      <c r="D17" s="20"/>
      <c r="E17" s="1"/>
    </row>
    <row r="18" spans="1:5" ht="15" customHeight="1" x14ac:dyDescent="0.45">
      <c r="A18" s="1"/>
      <c r="B18" s="46" t="s">
        <v>12</v>
      </c>
      <c r="C18" s="10">
        <f>'Fane 6. Ikke-påvirkelige omk.'!C18*(1+'Fane 12. Nøgletal'!C13)</f>
        <v>61742127.718817949</v>
      </c>
      <c r="D18" s="11" t="s">
        <v>3</v>
      </c>
      <c r="E18" s="1"/>
    </row>
    <row r="19" spans="1:5" ht="15" customHeight="1" x14ac:dyDescent="0.45">
      <c r="A19" s="1"/>
      <c r="B19" s="44" t="s">
        <v>99</v>
      </c>
      <c r="C19" s="45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4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5"/>
      <c r="D23" s="20"/>
      <c r="E23" s="1"/>
    </row>
    <row r="24" spans="1:5" ht="15" customHeight="1" x14ac:dyDescent="0.45">
      <c r="A24" s="1"/>
      <c r="B24" s="55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4" t="s">
        <v>32</v>
      </c>
      <c r="C25" s="12">
        <f>SUM(C16,C18,C22,C24)</f>
        <v>159048091.17473641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jzba7AVhoQduavpln7oEDEFN60gY6psy3VDEINGtyTBohyDtTlC2r+9/rrskXSdWmEZJf0edwi+IAH9VIkA6g==" saltValue="w/lgAdHE/7Ru7OudoVK59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1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163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4" t="s">
        <v>13</v>
      </c>
      <c r="C7" s="45"/>
      <c r="D7" s="20"/>
      <c r="E7" s="1"/>
    </row>
    <row r="8" spans="1:5" ht="15" customHeight="1" x14ac:dyDescent="0.45">
      <c r="A8" s="1"/>
      <c r="B8" s="49" t="s">
        <v>165</v>
      </c>
      <c r="C8" s="7">
        <f>'Fane 2.2. Økonomisk ramme 2022'!C16</f>
        <v>97305963.455918461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1187132.7541622054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-1197529.1131388773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drift'!G43</f>
        <v>-757590.86151450966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anlæg'!G43</f>
        <v>-1893883.904522296</v>
      </c>
      <c r="D14" s="8" t="s">
        <v>3</v>
      </c>
      <c r="E14" s="1"/>
    </row>
    <row r="15" spans="1:5" x14ac:dyDescent="0.45">
      <c r="A15" s="1"/>
      <c r="B15" s="50" t="s">
        <v>20</v>
      </c>
      <c r="C15" s="10">
        <f>SUM(C8:C14)</f>
        <v>94644092.330904976</v>
      </c>
      <c r="D15" s="11" t="s">
        <v>3</v>
      </c>
      <c r="E15" s="1"/>
    </row>
    <row r="16" spans="1:5" x14ac:dyDescent="0.45">
      <c r="A16" s="1"/>
      <c r="B16" s="44" t="s">
        <v>12</v>
      </c>
      <c r="C16" s="45"/>
      <c r="D16" s="20"/>
      <c r="E16" s="1"/>
    </row>
    <row r="17" spans="1:5" ht="15" customHeight="1" x14ac:dyDescent="0.45">
      <c r="A17" s="1"/>
      <c r="B17" s="46" t="s">
        <v>12</v>
      </c>
      <c r="C17" s="10">
        <f>'Fane 6. Ikke-påvirkelige omk.'!C18*(1+'Fane 12. Nøgletal'!C13)^2</f>
        <v>62495381.676987529</v>
      </c>
      <c r="D17" s="11" t="s">
        <v>3</v>
      </c>
      <c r="E17" s="1"/>
    </row>
    <row r="18" spans="1:5" ht="15" customHeight="1" x14ac:dyDescent="0.45">
      <c r="A18" s="1"/>
      <c r="B18" s="44" t="s">
        <v>99</v>
      </c>
      <c r="C18" s="45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4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4" t="s">
        <v>109</v>
      </c>
      <c r="C22" s="12">
        <f>SUM(C15,C17,C21)</f>
        <v>157139474.00789249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k/Xoaa+9jhoqkBqutrZy52fXXdocDG7ds2UXTqQGM49NlN30mFRxA5qmuqJPP7ogYL7cBKdylnj2SxrZPaldWA==" saltValue="Hvea1nWJE7qyQO3pp8mlt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164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4" t="s">
        <v>13</v>
      </c>
      <c r="C7" s="45"/>
      <c r="D7" s="20"/>
      <c r="E7" s="1"/>
    </row>
    <row r="8" spans="1:5" ht="15" customHeight="1" x14ac:dyDescent="0.45">
      <c r="A8" s="1"/>
      <c r="B8" s="49" t="s">
        <v>166</v>
      </c>
      <c r="C8" s="7">
        <f>'Fane 2.3. Økonomisk ramme 2023'!C15</f>
        <v>94644092.330904976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1154657.9264370408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-1164769.8859094849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drift'!G49</f>
        <v>-751496.80062448699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anlæg'!G49</f>
        <v>-1864272.0827331378</v>
      </c>
      <c r="D14" s="8" t="s">
        <v>3</v>
      </c>
      <c r="E14" s="1"/>
    </row>
    <row r="15" spans="1:5" x14ac:dyDescent="0.45">
      <c r="A15" s="1"/>
      <c r="B15" s="50" t="s">
        <v>20</v>
      </c>
      <c r="C15" s="10">
        <f>SUM(C8:C14)</f>
        <v>92018211.488074899</v>
      </c>
      <c r="D15" s="11" t="s">
        <v>3</v>
      </c>
      <c r="E15" s="1"/>
    </row>
    <row r="16" spans="1:5" x14ac:dyDescent="0.45">
      <c r="A16" s="1"/>
      <c r="B16" s="44" t="s">
        <v>12</v>
      </c>
      <c r="C16" s="45"/>
      <c r="D16" s="20"/>
      <c r="E16" s="1"/>
    </row>
    <row r="17" spans="1:5" ht="15" customHeight="1" x14ac:dyDescent="0.45">
      <c r="A17" s="1"/>
      <c r="B17" s="46" t="s">
        <v>12</v>
      </c>
      <c r="C17" s="10">
        <f>'Fane 6. Ikke-påvirkelige omk.'!C18*(1+'Fane 12. Nøgletal'!C13)^3</f>
        <v>63257825.333446778</v>
      </c>
      <c r="D17" s="11" t="s">
        <v>3</v>
      </c>
      <c r="E17" s="1"/>
    </row>
    <row r="18" spans="1:5" ht="15" customHeight="1" x14ac:dyDescent="0.45">
      <c r="A18" s="1"/>
      <c r="B18" s="44" t="s">
        <v>99</v>
      </c>
      <c r="C18" s="45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4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4" t="s">
        <v>245</v>
      </c>
      <c r="C22" s="12">
        <f>SUM(C15,C17,C21)</f>
        <v>155276036.82152167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HBLq4TPQERp4LmYn927CYsKcvPmB50MDVfKl1NJmLvCx47yrYLmXEN/cOmOIV5IudDxoMbyKilpJJmGeGsxr8g==" saltValue="1bobdZaGCcKXeW/14TZrs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8" style="2" customWidth="1"/>
    <col min="5" max="5" width="10.398437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180</v>
      </c>
      <c r="C3" s="93"/>
      <c r="D3" s="93"/>
      <c r="E3" s="93"/>
      <c r="F3" s="93"/>
      <c r="G3" s="1"/>
    </row>
    <row r="4" spans="1:7" ht="29.2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167</v>
      </c>
      <c r="C8" s="45"/>
      <c r="D8" s="45"/>
      <c r="E8" s="45"/>
      <c r="F8" s="20"/>
      <c r="G8" s="1"/>
    </row>
    <row r="9" spans="1:7" x14ac:dyDescent="0.45">
      <c r="A9" s="1"/>
      <c r="B9" s="94" t="s">
        <v>23</v>
      </c>
      <c r="C9" s="95"/>
      <c r="D9" s="96"/>
      <c r="E9" s="7">
        <v>99922532.468328908</v>
      </c>
      <c r="F9" s="8" t="s">
        <v>3</v>
      </c>
      <c r="G9" s="1"/>
    </row>
    <row r="10" spans="1:7" ht="15" customHeight="1" x14ac:dyDescent="0.45">
      <c r="A10" s="1"/>
      <c r="B10" s="79" t="s">
        <v>45</v>
      </c>
      <c r="C10" s="80"/>
      <c r="D10" s="81"/>
      <c r="E10" s="7">
        <v>295654.87710000004</v>
      </c>
      <c r="F10" s="8" t="s">
        <v>3</v>
      </c>
      <c r="G10" s="1"/>
    </row>
    <row r="11" spans="1:7" ht="15" customHeight="1" x14ac:dyDescent="0.45">
      <c r="A11" s="1"/>
      <c r="B11" s="79" t="s">
        <v>46</v>
      </c>
      <c r="C11" s="80"/>
      <c r="D11" s="81"/>
      <c r="E11" s="9">
        <v>1948912.4811340803</v>
      </c>
      <c r="F11" s="8" t="s">
        <v>3</v>
      </c>
      <c r="G11" s="1"/>
    </row>
    <row r="12" spans="1:7" x14ac:dyDescent="0.45">
      <c r="A12" s="1"/>
      <c r="B12" s="79" t="s">
        <v>30</v>
      </c>
      <c r="C12" s="80"/>
      <c r="D12" s="81"/>
      <c r="E12" s="9">
        <v>0</v>
      </c>
      <c r="F12" s="8" t="s">
        <v>3</v>
      </c>
      <c r="G12" s="1"/>
    </row>
    <row r="13" spans="1:7" x14ac:dyDescent="0.45">
      <c r="A13" s="1"/>
      <c r="B13" s="79" t="s">
        <v>29</v>
      </c>
      <c r="C13" s="80"/>
      <c r="D13" s="81"/>
      <c r="E13" s="9">
        <v>0</v>
      </c>
      <c r="F13" s="8" t="s">
        <v>3</v>
      </c>
      <c r="G13" s="1"/>
    </row>
    <row r="14" spans="1:7" x14ac:dyDescent="0.45">
      <c r="A14" s="1"/>
      <c r="B14" s="79" t="s">
        <v>159</v>
      </c>
      <c r="C14" s="80"/>
      <c r="D14" s="81"/>
      <c r="E14" s="9">
        <v>0</v>
      </c>
      <c r="F14" s="8" t="s">
        <v>3</v>
      </c>
      <c r="G14" s="1"/>
    </row>
    <row r="15" spans="1:7" x14ac:dyDescent="0.45">
      <c r="A15" s="1"/>
      <c r="B15" s="79" t="s">
        <v>160</v>
      </c>
      <c r="C15" s="80"/>
      <c r="D15" s="81"/>
      <c r="E15" s="9">
        <v>0</v>
      </c>
      <c r="F15" s="8" t="s">
        <v>3</v>
      </c>
      <c r="G15" s="1"/>
    </row>
    <row r="16" spans="1:7" x14ac:dyDescent="0.45">
      <c r="A16" s="1"/>
      <c r="B16" s="79" t="s">
        <v>18</v>
      </c>
      <c r="C16" s="80"/>
      <c r="D16" s="81"/>
      <c r="E16" s="9">
        <f>E9*'Fane 12. Nøgletal'!C11+SUM(E10:E15)*'Fane 12. Nøgletal'!C12</f>
        <v>1732908.7756719696</v>
      </c>
      <c r="F16" s="8" t="s">
        <v>3</v>
      </c>
      <c r="G16" s="1"/>
    </row>
    <row r="17" spans="1:7" x14ac:dyDescent="0.45">
      <c r="A17" s="1"/>
      <c r="B17" s="79" t="s">
        <v>9</v>
      </c>
      <c r="C17" s="80"/>
      <c r="D17" s="81"/>
      <c r="E17" s="9">
        <f>-SUM(E9:E16)*'Fane 5. Individuelt eff. krav'!G9</f>
        <v>-1376288.6265328953</v>
      </c>
      <c r="F17" s="8" t="s">
        <v>3</v>
      </c>
      <c r="G17" s="1"/>
    </row>
    <row r="18" spans="1:7" x14ac:dyDescent="0.45">
      <c r="A18" s="1"/>
      <c r="B18" s="79" t="s">
        <v>27</v>
      </c>
      <c r="C18" s="80"/>
      <c r="D18" s="81"/>
      <c r="E18" s="9">
        <f>-'Fane 4.1. Gen. krav - drift'!G25</f>
        <v>-771110.15927901643</v>
      </c>
      <c r="F18" s="8" t="s">
        <v>3</v>
      </c>
      <c r="G18" s="1"/>
    </row>
    <row r="19" spans="1:7" x14ac:dyDescent="0.45">
      <c r="A19" s="1"/>
      <c r="B19" s="79" t="s">
        <v>28</v>
      </c>
      <c r="C19" s="80"/>
      <c r="D19" s="81"/>
      <c r="E19" s="9">
        <f>-'Fane 4.2. Gen. krav - anlæg'!G25</f>
        <v>-642855.45468681818</v>
      </c>
      <c r="F19" s="8" t="s">
        <v>3</v>
      </c>
      <c r="G19" s="1"/>
    </row>
    <row r="20" spans="1:7" x14ac:dyDescent="0.45">
      <c r="A20" s="1"/>
      <c r="B20" s="82" t="s">
        <v>20</v>
      </c>
      <c r="C20" s="83"/>
      <c r="D20" s="84"/>
      <c r="E20" s="10">
        <f>SUM(E9:E19)</f>
        <v>101109754.36173624</v>
      </c>
      <c r="F20" s="11" t="s">
        <v>3</v>
      </c>
      <c r="G20" s="1"/>
    </row>
    <row r="21" spans="1:7" x14ac:dyDescent="0.45">
      <c r="A21" s="1"/>
      <c r="B21" s="91" t="s">
        <v>12</v>
      </c>
      <c r="C21" s="92"/>
      <c r="D21" s="92"/>
      <c r="E21" s="45"/>
      <c r="F21" s="20"/>
      <c r="G21" s="1"/>
    </row>
    <row r="22" spans="1:7" x14ac:dyDescent="0.45">
      <c r="A22" s="1"/>
      <c r="B22" s="85" t="s">
        <v>12</v>
      </c>
      <c r="C22" s="86"/>
      <c r="D22" s="87"/>
      <c r="E22" s="10">
        <v>56376963.990366034</v>
      </c>
      <c r="F22" s="11" t="s">
        <v>3</v>
      </c>
      <c r="G22" s="1"/>
    </row>
    <row r="23" spans="1:7" ht="15" customHeight="1" x14ac:dyDescent="0.45">
      <c r="A23" s="1"/>
      <c r="B23" s="91" t="s">
        <v>99</v>
      </c>
      <c r="C23" s="92"/>
      <c r="D23" s="92"/>
      <c r="E23" s="45"/>
      <c r="F23" s="45"/>
      <c r="G23" s="1"/>
    </row>
    <row r="24" spans="1:7" ht="14.25" customHeight="1" x14ac:dyDescent="0.45">
      <c r="A24" s="1"/>
      <c r="B24" s="76" t="s">
        <v>95</v>
      </c>
      <c r="C24" s="77"/>
      <c r="D24" s="78"/>
      <c r="E24" s="9">
        <v>0</v>
      </c>
      <c r="F24" s="8" t="s">
        <v>3</v>
      </c>
      <c r="G24" s="1"/>
    </row>
    <row r="25" spans="1:7" ht="14.25" customHeight="1" x14ac:dyDescent="0.45">
      <c r="A25" s="1"/>
      <c r="B25" s="76" t="s">
        <v>96</v>
      </c>
      <c r="C25" s="77"/>
      <c r="D25" s="78"/>
      <c r="E25" s="9">
        <v>0</v>
      </c>
      <c r="F25" s="8" t="s">
        <v>3</v>
      </c>
      <c r="G25" s="1"/>
    </row>
    <row r="26" spans="1:7" x14ac:dyDescent="0.45">
      <c r="A26" s="1"/>
      <c r="B26" s="88" t="s">
        <v>100</v>
      </c>
      <c r="C26" s="89"/>
      <c r="D26" s="89"/>
      <c r="E26" s="10">
        <v>0</v>
      </c>
      <c r="F26" s="11" t="s">
        <v>3</v>
      </c>
      <c r="G26" s="1"/>
    </row>
    <row r="27" spans="1:7" ht="14.25" customHeight="1" x14ac:dyDescent="0.45">
      <c r="A27" s="1"/>
      <c r="B27" s="44" t="s">
        <v>228</v>
      </c>
      <c r="C27" s="45"/>
      <c r="D27" s="45"/>
      <c r="E27" s="45"/>
      <c r="F27" s="45"/>
      <c r="G27" s="1"/>
    </row>
    <row r="28" spans="1:7" ht="13.15" customHeight="1" x14ac:dyDescent="0.45">
      <c r="A28" s="1"/>
      <c r="B28" s="88" t="s">
        <v>229</v>
      </c>
      <c r="C28" s="89"/>
      <c r="D28" s="90"/>
      <c r="E28" s="10">
        <v>0</v>
      </c>
      <c r="F28" s="11" t="s">
        <v>3</v>
      </c>
      <c r="G28" s="1"/>
    </row>
    <row r="29" spans="1:7" x14ac:dyDescent="0.45">
      <c r="A29" s="1"/>
      <c r="B29" s="44" t="s">
        <v>230</v>
      </c>
      <c r="C29" s="45"/>
      <c r="D29" s="45"/>
      <c r="E29" s="45"/>
      <c r="F29" s="20"/>
      <c r="G29" s="1"/>
    </row>
    <row r="30" spans="1:7" ht="15" customHeight="1" x14ac:dyDescent="0.45">
      <c r="A30" s="1"/>
      <c r="B30" s="88" t="s">
        <v>231</v>
      </c>
      <c r="C30" s="89"/>
      <c r="D30" s="90"/>
      <c r="E30" s="10">
        <v>6831940.0887029478</v>
      </c>
      <c r="F30" s="11" t="s">
        <v>3</v>
      </c>
      <c r="G30" s="1"/>
    </row>
    <row r="31" spans="1:7" x14ac:dyDescent="0.45">
      <c r="A31" s="1"/>
      <c r="B31" s="44" t="s">
        <v>232</v>
      </c>
      <c r="C31" s="45"/>
      <c r="D31" s="45"/>
      <c r="E31" s="45"/>
      <c r="F31" s="20"/>
      <c r="G31" s="1"/>
    </row>
    <row r="32" spans="1:7" x14ac:dyDescent="0.45">
      <c r="A32" s="1"/>
      <c r="B32" s="85" t="s">
        <v>233</v>
      </c>
      <c r="C32" s="86"/>
      <c r="D32" s="87"/>
      <c r="E32" s="10">
        <v>0</v>
      </c>
      <c r="F32" s="11" t="s">
        <v>3</v>
      </c>
      <c r="G32" s="1"/>
    </row>
    <row r="33" spans="1:7" x14ac:dyDescent="0.45">
      <c r="A33" s="1"/>
      <c r="B33" s="44" t="s">
        <v>24</v>
      </c>
      <c r="C33" s="45"/>
      <c r="D33" s="45"/>
      <c r="E33" s="12">
        <f>SUM(E30,E26,E28,E22,E20,E32)</f>
        <v>164318658.44080523</v>
      </c>
      <c r="F33" s="13" t="s">
        <v>3</v>
      </c>
      <c r="G33" s="1"/>
    </row>
    <row r="34" spans="1:7" ht="28.15" customHeight="1" x14ac:dyDescent="0.45">
      <c r="A34" s="1"/>
      <c r="B34" s="76" t="s">
        <v>179</v>
      </c>
      <c r="C34" s="77"/>
      <c r="D34" s="77"/>
      <c r="E34" s="77"/>
      <c r="F34" s="7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bbYd88yOxth6cOrc7508C9fUQ2pqJahZrr/9aU4huakKtB+7zXTpf9HgM9z2xS7/B6oMpZIqSqtlj2NwOGbxNg==" saltValue="MUpFfsWSOczoElCIxdI+c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4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4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4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53</v>
      </c>
      <c r="C5" s="101"/>
      <c r="D5" s="101"/>
      <c r="E5" s="101"/>
      <c r="F5" s="102"/>
      <c r="G5" s="24">
        <v>35267608.025951229</v>
      </c>
      <c r="H5" s="14" t="s">
        <v>3</v>
      </c>
      <c r="I5" s="1"/>
    </row>
    <row r="6" spans="1:9" x14ac:dyDescent="0.45">
      <c r="A6" s="1"/>
      <c r="B6" s="100" t="s">
        <v>54</v>
      </c>
      <c r="C6" s="101"/>
      <c r="D6" s="101"/>
      <c r="E6" s="101"/>
      <c r="F6" s="102"/>
      <c r="G6" s="24">
        <f>G5*'Fane 12. Nøgletal'!C27</f>
        <v>705352.16051902459</v>
      </c>
      <c r="H6" s="14" t="s">
        <v>3</v>
      </c>
      <c r="I6" s="1"/>
    </row>
    <row r="7" spans="1:9" x14ac:dyDescent="0.4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35001196.514923193</v>
      </c>
      <c r="H10" s="14" t="s">
        <v>3</v>
      </c>
      <c r="I10" s="1"/>
    </row>
    <row r="11" spans="1:9" x14ac:dyDescent="0.4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700023.93029846391</v>
      </c>
      <c r="H12" s="14" t="s">
        <v>3</v>
      </c>
      <c r="I12" s="1"/>
    </row>
    <row r="13" spans="1:9" x14ac:dyDescent="0.4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34880862.401304886</v>
      </c>
      <c r="H16" s="14" t="s">
        <v>3</v>
      </c>
      <c r="I16" s="1"/>
    </row>
    <row r="17" spans="1:9" x14ac:dyDescent="0.45">
      <c r="A17" s="1"/>
      <c r="B17" s="100" t="s">
        <v>148</v>
      </c>
      <c r="C17" s="101"/>
      <c r="D17" s="101"/>
      <c r="E17" s="101"/>
      <c r="F17" s="102"/>
      <c r="G17" s="24">
        <v>95033.235520615752</v>
      </c>
      <c r="H17" s="14" t="s">
        <v>3</v>
      </c>
      <c r="I17" s="1"/>
    </row>
    <row r="18" spans="1:9" x14ac:dyDescent="0.45">
      <c r="A18" s="1"/>
      <c r="B18" s="103" t="s">
        <v>59</v>
      </c>
      <c r="C18" s="104"/>
      <c r="D18" s="104"/>
      <c r="E18" s="104"/>
      <c r="F18" s="105"/>
      <c r="G18" s="24">
        <v>3410104.116096999</v>
      </c>
      <c r="H18" s="14" t="s">
        <v>3</v>
      </c>
      <c r="I18" s="1"/>
    </row>
    <row r="19" spans="1:9" x14ac:dyDescent="0.4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767719.99505844992</v>
      </c>
      <c r="H19" s="14" t="s">
        <v>3</v>
      </c>
      <c r="I19" s="1"/>
    </row>
    <row r="20" spans="1:9" x14ac:dyDescent="0.4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38254028.68577195</v>
      </c>
      <c r="H23" s="14" t="s">
        <v>3</v>
      </c>
      <c r="I23" s="1"/>
    </row>
    <row r="24" spans="1:9" x14ac:dyDescent="0.45">
      <c r="A24" s="1"/>
      <c r="B24" s="103" t="s">
        <v>62</v>
      </c>
      <c r="C24" s="104"/>
      <c r="D24" s="104"/>
      <c r="E24" s="104"/>
      <c r="F24" s="105"/>
      <c r="G24" s="24">
        <v>301479.27817887004</v>
      </c>
      <c r="H24" s="14" t="s">
        <v>3</v>
      </c>
      <c r="I24" s="1"/>
    </row>
    <row r="25" spans="1:9" x14ac:dyDescent="0.4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771110.15927901643</v>
      </c>
      <c r="H25" s="14" t="s">
        <v>3</v>
      </c>
      <c r="I25" s="1"/>
    </row>
    <row r="26" spans="1:9" x14ac:dyDescent="0.4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38245367.457888797</v>
      </c>
      <c r="H29" s="14" t="s">
        <v>3</v>
      </c>
      <c r="I29" s="1"/>
    </row>
    <row r="30" spans="1:9" x14ac:dyDescent="0.45">
      <c r="A30" s="1"/>
      <c r="B30" s="100" t="s">
        <v>187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251014.46580000001</v>
      </c>
      <c r="H30" s="14" t="s">
        <v>3</v>
      </c>
      <c r="I30" s="1"/>
    </row>
    <row r="31" spans="1:9" x14ac:dyDescent="0.4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769927.63847377605</v>
      </c>
      <c r="H31" s="14" t="s">
        <v>3</v>
      </c>
      <c r="I31" s="1"/>
    </row>
    <row r="32" spans="1:9" x14ac:dyDescent="0.4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38186717.027494647</v>
      </c>
      <c r="H35" s="14" t="s">
        <v>3</v>
      </c>
      <c r="I35" s="1"/>
    </row>
    <row r="36" spans="1:9" x14ac:dyDescent="0.4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763734.34054989298</v>
      </c>
      <c r="H37" s="14" t="s">
        <v>3</v>
      </c>
      <c r="I37" s="1"/>
    </row>
    <row r="38" spans="1:9" x14ac:dyDescent="0.4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37879543.075725481</v>
      </c>
      <c r="H41" s="14" t="s">
        <v>3</v>
      </c>
      <c r="I41" s="1"/>
    </row>
    <row r="42" spans="1:9" x14ac:dyDescent="0.4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757590.86151450966</v>
      </c>
      <c r="H43" s="14" t="s">
        <v>3</v>
      </c>
      <c r="I43" s="1"/>
    </row>
    <row r="44" spans="1:9" x14ac:dyDescent="0.4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37574840.031224348</v>
      </c>
      <c r="H47" s="14" t="s">
        <v>3</v>
      </c>
      <c r="I47" s="1"/>
    </row>
    <row r="48" spans="1:9" x14ac:dyDescent="0.4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751496.80062448699</v>
      </c>
      <c r="H49" s="14" t="s">
        <v>3</v>
      </c>
      <c r="I49" s="1"/>
    </row>
    <row r="50" spans="1:9" x14ac:dyDescent="0.4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04VCE1uZI0hbEUAZrKY24W/rh+GhBmNWwLcH8ki9aveyQsqPdg1WVhcH9K/tPWSyMJpz13ra7yVEYZNG4MqXRA==" saltValue="WzX8dkVA88rcC/LDBfMeDQ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72</v>
      </c>
      <c r="C5" s="101"/>
      <c r="D5" s="101"/>
      <c r="E5" s="101"/>
      <c r="F5" s="102"/>
      <c r="G5" s="24">
        <v>62380457.62591286</v>
      </c>
      <c r="H5" s="14" t="s">
        <v>3</v>
      </c>
      <c r="I5" s="1"/>
    </row>
    <row r="6" spans="1:9" x14ac:dyDescent="0.45">
      <c r="A6" s="1"/>
      <c r="B6" s="100" t="s">
        <v>69</v>
      </c>
      <c r="C6" s="101"/>
      <c r="D6" s="101"/>
      <c r="E6" s="101"/>
      <c r="F6" s="102"/>
      <c r="G6" s="24">
        <f>G5*'Fane 12. Nøgletal'!C18</f>
        <v>567662.16439580708</v>
      </c>
      <c r="H6" s="14" t="s">
        <v>3</v>
      </c>
      <c r="I6" s="1"/>
    </row>
    <row r="7" spans="1:9" x14ac:dyDescent="0.4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62597817.963878311</v>
      </c>
      <c r="H10" s="14" t="s">
        <v>3</v>
      </c>
      <c r="I10" s="1"/>
    </row>
    <row r="11" spans="1:9" x14ac:dyDescent="0.4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569640.14347129269</v>
      </c>
      <c r="H12" s="14" t="s">
        <v>3</v>
      </c>
      <c r="I12" s="1"/>
    </row>
    <row r="13" spans="1:9" x14ac:dyDescent="0.4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63076454.02557189</v>
      </c>
      <c r="H16" s="14" t="s">
        <v>3</v>
      </c>
      <c r="I16" s="1"/>
    </row>
    <row r="17" spans="1:9" x14ac:dyDescent="0.45">
      <c r="A17" s="1"/>
      <c r="B17" s="100" t="s">
        <v>149</v>
      </c>
      <c r="C17" s="101"/>
      <c r="D17" s="101"/>
      <c r="E17" s="101"/>
      <c r="F17" s="102"/>
      <c r="G17" s="24">
        <v>-1269571.6226364074</v>
      </c>
      <c r="H17" s="14" t="s">
        <v>3</v>
      </c>
      <c r="I17" s="1"/>
    </row>
    <row r="18" spans="1:9" x14ac:dyDescent="0.45">
      <c r="A18" s="1"/>
      <c r="B18" s="103" t="s">
        <v>79</v>
      </c>
      <c r="C18" s="104"/>
      <c r="D18" s="104"/>
      <c r="E18" s="104"/>
      <c r="F18" s="105"/>
      <c r="G18" s="24">
        <v>5058784.0312019587</v>
      </c>
      <c r="H18" s="14" t="s">
        <v>3</v>
      </c>
      <c r="I18" s="1"/>
    </row>
    <row r="19" spans="1:9" x14ac:dyDescent="0.4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581731.2979769957</v>
      </c>
      <c r="H19" s="14" t="s">
        <v>3</v>
      </c>
      <c r="I19" s="1"/>
    </row>
    <row r="20" spans="1:9" x14ac:dyDescent="0.4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67404133.639961556</v>
      </c>
      <c r="H23" s="14" t="s">
        <v>3</v>
      </c>
      <c r="I23" s="1"/>
    </row>
    <row r="24" spans="1:9" x14ac:dyDescent="0.45">
      <c r="A24" s="1"/>
      <c r="B24" s="103" t="s">
        <v>83</v>
      </c>
      <c r="C24" s="104"/>
      <c r="D24" s="104"/>
      <c r="E24" s="104"/>
      <c r="F24" s="105"/>
      <c r="G24" s="24">
        <v>1987306.0570124218</v>
      </c>
      <c r="H24" s="14" t="s">
        <v>3</v>
      </c>
      <c r="I24" s="1"/>
    </row>
    <row r="25" spans="1:9" x14ac:dyDescent="0.4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642855.45468681818</v>
      </c>
      <c r="H25" s="14" t="s">
        <v>3</v>
      </c>
      <c r="I25" s="1"/>
    </row>
    <row r="26" spans="1:9" x14ac:dyDescent="0.4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69587316.970043063</v>
      </c>
      <c r="H29" s="14" t="s">
        <v>3</v>
      </c>
      <c r="I29" s="1"/>
    </row>
    <row r="30" spans="1:9" x14ac:dyDescent="0.45">
      <c r="A30" s="1"/>
      <c r="B30" s="100" t="s">
        <v>192</v>
      </c>
      <c r="C30" s="101"/>
      <c r="D30" s="101"/>
      <c r="E30" s="101"/>
      <c r="F30" s="102"/>
      <c r="G30" s="24">
        <f>SUM('Fane 2.1. Økonomisk ramme 2021'!C12,'Fane 2.1. Økonomisk ramme 2021'!C14,'Fane 2.1. Økonomisk ramme 2021'!C16)*(1+'Fane 12. Nøgletal'!C13)</f>
        <v>1486358.2462647739</v>
      </c>
      <c r="H30" s="14" t="s">
        <v>3</v>
      </c>
      <c r="I30" s="1"/>
    </row>
    <row r="31" spans="1:9" x14ac:dyDescent="0.4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1954526.0684484656</v>
      </c>
      <c r="H31" s="14" t="s">
        <v>3</v>
      </c>
      <c r="I31" s="1"/>
    </row>
    <row r="32" spans="1:9" x14ac:dyDescent="0.4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69962402.767463252</v>
      </c>
      <c r="H35" s="14" t="s">
        <v>3</v>
      </c>
      <c r="I35" s="1"/>
    </row>
    <row r="36" spans="1:9" x14ac:dyDescent="0.4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1923966.0761052393</v>
      </c>
      <c r="H37" s="14" t="s">
        <v>3</v>
      </c>
      <c r="I37" s="1"/>
    </row>
    <row r="38" spans="1:9" x14ac:dyDescent="0.4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68868505.618992582</v>
      </c>
      <c r="H41" s="14" t="s">
        <v>3</v>
      </c>
      <c r="I41" s="1"/>
    </row>
    <row r="42" spans="1:9" x14ac:dyDescent="0.4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1893883.904522296</v>
      </c>
      <c r="H43" s="14" t="s">
        <v>3</v>
      </c>
      <c r="I43" s="1"/>
    </row>
    <row r="44" spans="1:9" x14ac:dyDescent="0.4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67791712.099386826</v>
      </c>
      <c r="H47" s="14" t="s">
        <v>3</v>
      </c>
      <c r="I47" s="1"/>
    </row>
    <row r="48" spans="1:9" x14ac:dyDescent="0.4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1864272.0827331378</v>
      </c>
      <c r="H49" s="14" t="s">
        <v>3</v>
      </c>
      <c r="I49" s="1"/>
    </row>
    <row r="50" spans="1:9" x14ac:dyDescent="0.4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XRoPGo6dsiXf+bHCyXFheF5S9Nmi3D22bvWSy1SsSb20mIb4uETPLMlIioWiDflBDqOGECYAYn1PHG1Kg6hD/g==" saltValue="5Vjvy/gB+0e7okQbXjGOfw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45">
      <c r="A9" s="1"/>
      <c r="B9" s="100" t="s">
        <v>124</v>
      </c>
      <c r="C9" s="101"/>
      <c r="D9" s="101"/>
      <c r="E9" s="101"/>
      <c r="F9" s="102"/>
      <c r="G9" s="23">
        <v>1.3246280198125895E-2</v>
      </c>
      <c r="H9" s="14"/>
      <c r="I9" s="1"/>
    </row>
    <row r="10" spans="1:9" x14ac:dyDescent="0.45">
      <c r="A10" s="1"/>
      <c r="B10" s="100" t="s">
        <v>181</v>
      </c>
      <c r="C10" s="101"/>
      <c r="D10" s="101"/>
      <c r="E10" s="101"/>
      <c r="F10" s="102"/>
      <c r="G10" s="23">
        <v>1.2158508151521705E-2</v>
      </c>
      <c r="H10" s="14"/>
      <c r="I10" s="1"/>
    </row>
    <row r="11" spans="1:9" x14ac:dyDescent="0.45">
      <c r="A11" s="1"/>
      <c r="B11" s="44"/>
      <c r="C11" s="45"/>
      <c r="D11" s="45"/>
      <c r="E11" s="45"/>
      <c r="F11" s="45"/>
      <c r="G11" s="45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+xxafbPQcPOaY+kJ3XUwlO41Lqaep4uxlKAMchM94IJmUZW4RKv72lg7hx6wy5xUydtWkdnuEf9Zn0oBMdxZoA==" saltValue="WQ0nfP7nLv5B/vWteZkRa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2020-10-20T07:45:57Z</dcterms:modified>
</cp:coreProperties>
</file>