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Vejle Spildevand AS (S103)\ØR2024\"/>
    </mc:Choice>
  </mc:AlternateContent>
  <xr:revisionPtr revIDLastSave="0" documentId="13_ncr:1_{FEFA176A-C28C-4764-9086-0C499447DAB1}"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3" r:id="rId11"/>
    <sheet name="Fane 8. Skattesagen" sheetId="41" r:id="rId12"/>
    <sheet name="Fane 9. Korrektion af ØR2022" sheetId="40" r:id="rId13"/>
    <sheet name="Fane 10. Anlægsprojekter (§19) "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virksomhed'!$B$8:$F$13</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2026'!$B$7:$D$22</definedName>
    <definedName name="Tabel_Fane_2_4">'Fane 2.4. Økonomisk ramme 2027'!$B$7:$D$22</definedName>
    <definedName name="Tabel_Fane_3">'Fane 3. Omkostninger i ØR2023'!$B$8:$D$40</definedName>
    <definedName name="Tabel_Fane_8">'Fane 8. Skattesagen'!$B$8:$H$18</definedName>
  </definedNames>
  <calcPr calcId="191029"/>
</workbook>
</file>

<file path=xl/calcChain.xml><?xml version="1.0" encoding="utf-8"?>
<calcChain xmlns="http://schemas.openxmlformats.org/spreadsheetml/2006/main">
  <c r="E17" i="43" l="1"/>
  <c r="E18" i="43"/>
  <c r="E26" i="43" l="1"/>
  <c r="E19" i="43"/>
  <c r="C9" i="2"/>
  <c r="E30" i="43" l="1"/>
  <c r="E32" i="43" s="1"/>
  <c r="E11" i="39"/>
  <c r="C11" i="39"/>
  <c r="C20" i="15" l="1"/>
  <c r="C34" i="2"/>
  <c r="E29" i="20"/>
  <c r="E23" i="20"/>
  <c r="E17" i="20"/>
  <c r="E11" i="20"/>
  <c r="E12" i="39" l="1"/>
  <c r="C12" i="39"/>
  <c r="C21" i="23" l="1"/>
  <c r="C21" i="22"/>
  <c r="C22" i="15"/>
  <c r="C36" i="2"/>
  <c r="F10" i="11" l="1"/>
  <c r="G18" i="41" l="1"/>
  <c r="C18" i="19" l="1"/>
  <c r="C19" i="19" s="1"/>
  <c r="J11" i="11"/>
  <c r="H11" i="11"/>
  <c r="C15" i="22" l="1"/>
  <c r="C15" i="23"/>
  <c r="C16" i="15"/>
  <c r="C22" i="2"/>
  <c r="G34" i="30"/>
  <c r="C10" i="37" l="1"/>
  <c r="C35" i="37" s="1"/>
  <c r="C36" i="37" s="1"/>
  <c r="G7" i="30" l="1"/>
  <c r="G11" i="30" s="1"/>
  <c r="E30" i="20" l="1"/>
  <c r="E31" i="20" s="1"/>
  <c r="C17" i="23" l="1"/>
  <c r="C27" i="2"/>
  <c r="C29" i="2" s="1"/>
  <c r="C26" i="2"/>
  <c r="C28" i="2" s="1"/>
  <c r="E16" i="40" l="1"/>
  <c r="E12" i="40"/>
  <c r="C30" i="2" l="1"/>
  <c r="G33" i="36" l="1"/>
  <c r="G25" i="36"/>
  <c r="G32" i="36" s="1"/>
  <c r="G7" i="36"/>
  <c r="G11" i="36" s="1"/>
  <c r="G14" i="36" s="1"/>
  <c r="G18" i="36" l="1"/>
  <c r="G20" i="36" l="1"/>
  <c r="G24" i="36"/>
  <c r="G31" i="36" l="1"/>
  <c r="G35" i="36" s="1"/>
  <c r="G27" i="36"/>
  <c r="G39" i="36" l="1"/>
  <c r="G41" i="36" l="1"/>
  <c r="G45" i="36" s="1"/>
  <c r="F11" i="11" l="1"/>
  <c r="E10" i="37" s="1"/>
  <c r="E35" i="37" s="1"/>
  <c r="E36" i="37" s="1"/>
  <c r="G15" i="30"/>
  <c r="E24" i="20" l="1"/>
  <c r="E18" i="20"/>
  <c r="E19" i="20" s="1"/>
  <c r="E12" i="20"/>
  <c r="E13" i="20" s="1"/>
  <c r="C18" i="15" l="1"/>
  <c r="E17" i="40"/>
  <c r="C32" i="2" s="1"/>
  <c r="C24" i="2"/>
  <c r="E25" i="20" l="1"/>
  <c r="C17" i="22" s="1"/>
  <c r="E12" i="21"/>
  <c r="E13" i="21" s="1"/>
  <c r="C12" i="21"/>
  <c r="C13" i="21" s="1"/>
  <c r="C13" i="2" l="1"/>
  <c r="C12" i="2"/>
  <c r="G19" i="30" l="1"/>
  <c r="G25" i="30" s="1"/>
  <c r="G21" i="30" l="1"/>
  <c r="G28" i="30"/>
  <c r="G32" i="30"/>
  <c r="G36" i="30" s="1"/>
  <c r="G40" i="30" s="1"/>
  <c r="C10" i="2" l="1"/>
  <c r="E12" i="29"/>
  <c r="E13" i="29" s="1"/>
  <c r="C12" i="29"/>
  <c r="C13" i="29" s="1"/>
  <c r="C15" i="2" l="1"/>
  <c r="C14" i="2"/>
  <c r="G54" i="30" s="1"/>
  <c r="G42" i="30" l="1"/>
  <c r="G46" i="30" s="1"/>
  <c r="G48" i="30" l="1"/>
  <c r="C11" i="2"/>
  <c r="G52" i="36" s="1"/>
  <c r="G53" i="30" l="1"/>
  <c r="G47" i="36"/>
  <c r="G55" i="30" l="1"/>
  <c r="C18" i="2" s="1"/>
  <c r="G51" i="36"/>
  <c r="G57" i="36" s="1"/>
  <c r="G59" i="30" l="1"/>
  <c r="C16" i="2"/>
  <c r="C17" i="2" s="1"/>
  <c r="C13" i="15"/>
  <c r="C19" i="2" l="1"/>
  <c r="C20" i="2" s="1"/>
  <c r="C37" i="2" s="1"/>
  <c r="G60" i="30"/>
  <c r="C12" i="15" s="1"/>
  <c r="G62" i="36" l="1"/>
  <c r="C12" i="22" s="1"/>
  <c r="G64" i="30"/>
  <c r="C9" i="15"/>
  <c r="C10" i="15" l="1"/>
  <c r="C11" i="15" s="1"/>
  <c r="C14" i="15" s="1"/>
  <c r="G65" i="30"/>
  <c r="C11" i="22" s="1"/>
  <c r="G67" i="36" l="1"/>
  <c r="C12" i="23" s="1"/>
  <c r="G69" i="30"/>
  <c r="G70" i="30" s="1"/>
  <c r="C11" i="23" s="1"/>
  <c r="C23" i="15"/>
  <c r="C8" i="22" l="1"/>
  <c r="C9" i="22" l="1"/>
  <c r="C10" i="22" s="1"/>
  <c r="C13" i="22" l="1"/>
  <c r="C22" i="22" s="1"/>
  <c r="C8" i="23" l="1"/>
  <c r="C9" i="23" s="1"/>
  <c r="C10" i="23" s="1"/>
  <c r="C13" i="23" s="1"/>
  <c r="C22" i="23" s="1"/>
</calcChain>
</file>

<file path=xl/sharedStrings.xml><?xml version="1.0" encoding="utf-8"?>
<sst xmlns="http://schemas.openxmlformats.org/spreadsheetml/2006/main" count="719" uniqueCount="328">
  <si>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</si>
  <si>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</si>
  <si>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</si>
  <si>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</si>
  <si>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</si>
  <si>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</si>
  <si>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</si>
  <si>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</si>
  <si>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</si>
  <si>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</si>
  <si>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</si>
  <si>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</si>
  <si>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</si>
  <si>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</si>
  <si>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</si>
  <si>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</si>
  <si>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</si>
  <si>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</si>
  <si>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</si>
  <si>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</si>
  <si>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</si>
  <si>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</si>
  <si>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</si>
  <si>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</si>
  <si>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</si>
  <si>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</si>
  <si>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</si>
  <si>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</si>
  <si>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</si>
  <si>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</si>
  <si>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</si>
  <si>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</si>
  <si>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</si>
  <si>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</si>
  <si>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</si>
  <si>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</si>
  <si>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</si>
  <si>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</si>
  <si>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</si>
  <si>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Prisudvikling til brug for nye omkostninger i ØR2020</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</si>
  <si>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</si>
  <si>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</si>
  <si>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</si>
  <si>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</si>
  <si>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</si>
  <si>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</si>
  <si>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</si>
  <si>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</si>
  <si>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</si>
  <si>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</si>
  <si>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driftsomkostninger i de økonomiske rammer for 2021</t>
  </si>
  <si>
    <t>Base for driftsomkostninger til de økonomiske rammer for 2021</t>
  </si>
  <si>
    <t>Generelt effektiviseringskrav til driftsomkostningerne i ØR21</t>
  </si>
  <si>
    <t>Generelt effektiviseringskrav til anlægsomkostninger i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</si>
  <si>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</si>
  <si>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</si>
  <si>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</si>
  <si>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</si>
  <si>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</si>
  <si>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</si>
  <si>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</si>
  <si>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</si>
  <si>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</si>
  <si>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</si>
  <si>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</si>
  <si>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</si>
  <si>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</si>
  <si>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</si>
  <si>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</si>
  <si>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</si>
  <si>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</si>
  <si>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</si>
  <si>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</si>
  <si>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</si>
  <si>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</si>
  <si>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</si>
  <si>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</si>
  <si>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</si>
  <si>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</si>
  <si>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Samlede tillæg til periodevise driftsomkostninger jf. indmeldte oprensningsplan</t>
  </si>
  <si>
    <t>Difference (Korrektion)</t>
  </si>
  <si>
    <t>Antal år i næste reguleringsperiode</t>
  </si>
  <si>
    <t>Generelt effektiviseringskrav til driftsomkostningerne</t>
  </si>
  <si>
    <t>Generelt effektiviseringskrav til anlægsomkostningerne</t>
  </si>
  <si>
    <t>Nøgletal</t>
  </si>
  <si>
    <t>Fane 4.1</t>
  </si>
  <si>
    <t>Fane 4.2</t>
  </si>
  <si>
    <t>Fane 6</t>
  </si>
  <si>
    <t>Fane 6: Ikke-påvirkelige omkostninger</t>
  </si>
  <si>
    <t>Fane 4.2: Generelt effektiviseringskrav til anlægsomkostningerne</t>
  </si>
  <si>
    <t>Fane 4.1: Generelt effektiviseringskrav til driftsomkostningerne</t>
  </si>
  <si>
    <t>Prisudvikling til brug for ØR2018-2021</t>
  </si>
  <si>
    <t>Generelt effektiviseringskrav til brug for nye anlægsomkostninger i ØR2019</t>
  </si>
  <si>
    <t>Generelt effektiviseringskrav til brug for anlægsomkostninger i ØR2018-2021</t>
  </si>
  <si>
    <t>Generelt effektiviseringskrav til brug for nye anlægsomkostninger i ØR2020</t>
  </si>
  <si>
    <t>Generelt effektiviseringskrav til brug for driftsomkostninger</t>
  </si>
  <si>
    <t>Tillæg til medfinansieringsprojekter godkendt under prisloftsbekendtgørelsen</t>
  </si>
  <si>
    <t>- Heraf nye anlægsomkostninger til de økonomiske rammer for 2020</t>
  </si>
  <si>
    <t>- Heraf nye driftsomkostninger til de økonomiske rammer for 2020</t>
  </si>
  <si>
    <t>Periodevise driftsomkostninger i den økonomiske ramme for 2018</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</si>
  <si>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</si>
  <si>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</si>
  <si>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</si>
  <si>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</si>
  <si>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</si>
  <si>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</si>
  <si>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2023</t>
  </si>
  <si>
    <t>Økonomisk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</si>
  <si>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</si>
  <si>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</si>
  <si>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</si>
  <si>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</si>
  <si>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</si>
  <si>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Generelt effektiviseringskrav til brug for nye anlægsomkostninger i ØR2021</t>
  </si>
  <si>
    <t>Nye driftsomkostninger til de økonomiske rammer for 2021</t>
  </si>
  <si>
    <t>Base for driftsomkostninger til de vejledende økonomiske rammer for 2024</t>
  </si>
  <si>
    <t>Vejledende generelt effektiviseringskrav til driftsomkostningerne i ØR24</t>
  </si>
  <si>
    <t>Base for anlægsomkostninger til de vejledende økonomiske rammer for 2024</t>
  </si>
  <si>
    <t>Vejledende generelt effektiviseringskrav til anlægsomkostningerne i ØR24</t>
  </si>
  <si>
    <t>Kontrol med overholdelse af økonomiske rammer</t>
  </si>
  <si>
    <t>Kontrol med overholdelse af økonomiske ramme</t>
  </si>
  <si>
    <t>Kontrol med de økonomiske rammer til indregning</t>
  </si>
  <si>
    <t>Videreførte omkostninger fra den økonomiske ramme for 2024</t>
  </si>
  <si>
    <t>Økonomisk ramme for 2025</t>
  </si>
  <si>
    <t>Generelt effektiviseringskrav til driftsomkostninger i de økonomiske rammer for 2022</t>
  </si>
  <si>
    <t>Generelt effektiviseringskrav til anlægsomkostninger i de økonomiske rammer for 2022</t>
  </si>
  <si>
    <t>Generelt effektiviseringskrav til anlægsomkostningerne i ØR22</t>
  </si>
  <si>
    <t>Periodevise driftsomkostninger til de økonomiske rammer for 2025</t>
  </si>
  <si>
    <t>Periodevise driftsomkostninger i alt i 2025-prisniveau</t>
  </si>
  <si>
    <t>Generelt effektiviseringskrav til brug for nye anlægsomkostninger i ØR2022</t>
  </si>
  <si>
    <t>Generelt effektiviseringskrav til anlægsomkostninger i de økonomiske rammer for 2020</t>
  </si>
  <si>
    <t>Generelt effektiviseringskrav til driftsomkostninger i de økonomiske rammer for 2023</t>
  </si>
  <si>
    <t>Generelt effektiviseringskrav til driftsomkostninger i de økonomiske rammer for 2017</t>
  </si>
  <si>
    <t>Driftsomkostninger i grundlaget til de økonomiske rammer for 2017</t>
  </si>
  <si>
    <t>Periodevise driftsomkostninger i den økonomiske ramme for 2017</t>
  </si>
  <si>
    <t>Generelt effektiviseringskrav til driftsomkostningerne i ØR17</t>
  </si>
  <si>
    <t>Base for driftsomkostninger til de økonomiske rammer for 2018</t>
  </si>
  <si>
    <t>Nye driftsomkostninger til de økonomiske rammer for 2018</t>
  </si>
  <si>
    <t>- Heraf nye driftsomkostninger til de økonomiske rammer for 2019</t>
  </si>
  <si>
    <t>Base for driftsomkostninger til de vejledende økonomiske rammer for 2025</t>
  </si>
  <si>
    <t>Vejledende generelt effektiviseringskrav til driftsomkostningerne i ØR25</t>
  </si>
  <si>
    <t>Generelt effektiviseringskrav til anlægsomkostningerne i ØR17</t>
  </si>
  <si>
    <t>Generelt effektiviseringskrav til driftsomkostningerne i ØR22</t>
  </si>
  <si>
    <t>Nye driftsomkostninger til de økonomiske rammer for 2022</t>
  </si>
  <si>
    <t>Base for driftsomkostninger til de økonomiske rammer for 2022</t>
  </si>
  <si>
    <t>Generelt effektiviseringskrav til anlægsomkostninger i de økonomiske rammer for 2017</t>
  </si>
  <si>
    <t>Anlægssomkostninger i grundlaget til de økonomiske rammer for 2017</t>
  </si>
  <si>
    <t>Base for anlægsomkostninger til de økonomiske rammer for 2018</t>
  </si>
  <si>
    <t>-Heraf nye anlægsomkostninger til de økonomiske rammer for 2019</t>
  </si>
  <si>
    <t>- Heraf nye anlægsomkostninger til de økonomiske rammer for 2019</t>
  </si>
  <si>
    <t>Base for anlægsomkostninger til de vejledende økonomiske rammer for 2022</t>
  </si>
  <si>
    <t>Vejledende generelt effektiviseringskrav til anlægsomkostningerne i ØR25</t>
  </si>
  <si>
    <t>Base for driftsomkostninger til de økonomiske rammer for 2023</t>
  </si>
  <si>
    <t>Generelt effektiviseringskrav til driftsomkostningerne i ØR23</t>
  </si>
  <si>
    <t>Generelt effektiviseringskrav til anlægsomkostningerne i ØR23</t>
  </si>
  <si>
    <t xml:space="preserve">Indtægter fra tilbagebetalt skat eller sambeskatningsbidrag som følge af skattesagen </t>
  </si>
  <si>
    <t xml:space="preserve">Nedsættelse af økonomisk ramme som følge af skattesagen </t>
  </si>
  <si>
    <t>Prisudvikling til brug for ØR2017</t>
  </si>
  <si>
    <t>Generelt effektiviseringskrav til brug for anlægsomkostninger i ØR2017</t>
  </si>
  <si>
    <t>Tidligere opgjorte over/underdækninger</t>
  </si>
  <si>
    <t>Over/underdækning i 2018</t>
  </si>
  <si>
    <t>Over/underdækning i 2019</t>
  </si>
  <si>
    <t>Prisudvikling til brug for ØR2022-2023</t>
  </si>
  <si>
    <t>Kontrol med overholdelse af den økonomiske ramme</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</si>
  <si>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</si>
  <si>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</si>
  <si>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</si>
  <si>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</si>
  <si>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</si>
  <si>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</si>
  <si>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2025</t>
  </si>
  <si>
    <t>Vejledende generelt effektiviseringskrav til anlægsomkostningerne i ØR26</t>
  </si>
  <si>
    <t>Over/underdækning i 2020</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</si>
  <si>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</si>
  <si>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</si>
  <si>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</si>
  <si>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</si>
  <si>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ØR2023-2024</t>
  </si>
  <si>
    <t>Generelt effektiviseringskrav til brug for nye anlægsomkostninger i ØR2023</t>
  </si>
  <si>
    <t>Anlægsprojekter igangsat senest den 1. marts 2016</t>
  </si>
  <si>
    <t>Anlægsprojekter igangsat senest den 1. marts 2016 i alt</t>
  </si>
  <si>
    <t>Nye driftsomkostninger til de økonomiske rammer for 2023</t>
  </si>
  <si>
    <t>Generelt effektiviseringskrav til anlægsomkostninger i de økonomiske rammer for 2023</t>
  </si>
  <si>
    <t>Anlægsprojekter igangsat senest 1. marts 2016</t>
  </si>
  <si>
    <t>Nye varige anlægsomkostninger i de økonomiske rammer for 2023</t>
  </si>
  <si>
    <t>Effektiviseringskrav (generelt og individuelt) –  Drift</t>
  </si>
  <si>
    <t>Effektiviseringskrav (generelt og individuelt) –  Anlæg</t>
  </si>
  <si>
    <t xml:space="preserve">Anlægsprojekter (§ 19) </t>
  </si>
  <si>
    <t>Omkostninger i 2021</t>
  </si>
  <si>
    <t>Anskaffelses-pris</t>
  </si>
  <si>
    <t xml:space="preserve">kr. </t>
  </si>
  <si>
    <t>Drifts-omkostninger</t>
  </si>
  <si>
    <t>Skattesagen</t>
  </si>
  <si>
    <t>Fane 8: Indtægter til tilbagebetaling som følge af skattesagen</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</si>
  <si>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</si>
  <si>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</si>
  <si>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</si>
  <si>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</si>
  <si>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</si>
  <si>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</si>
  <si>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</si>
  <si>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</si>
  <si>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</si>
  <si>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</si>
  <si>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</si>
  <si>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</si>
  <si>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</si>
  <si>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</si>
  <si>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</si>
  <si>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</si>
  <si>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</si>
  <si>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</si>
  <si>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Fane 10</t>
  </si>
  <si>
    <t>Fane 11.1</t>
  </si>
  <si>
    <t>Fane 11.2</t>
  </si>
  <si>
    <t>Fane 15</t>
  </si>
  <si>
    <t>Tillæg til den økonomiske ramme for 2024</t>
  </si>
  <si>
    <t>Tillæg til den økonomiske ramme for 2025</t>
  </si>
  <si>
    <t>Tillæg til den økonomiske ramme for 2026</t>
  </si>
  <si>
    <t>Samlet økonomisk ramme for 2024</t>
  </si>
  <si>
    <t>Omkostninger i ØR2023</t>
  </si>
  <si>
    <t>Kontrol af den økonomiske ramme for 2022</t>
  </si>
  <si>
    <t>Korrektion af den økonomiske ramme for 2022</t>
  </si>
  <si>
    <t>Samlet økonomisk ramme for 2025</t>
  </si>
  <si>
    <t>Fane 2.2: Samlet økonomisk ramme for 2025</t>
  </si>
  <si>
    <t>Prisudvikling til brug for ØR2024-2025</t>
  </si>
  <si>
    <t>Generelt effektiviseringskrav til brug for nye anlægsomkostninger i ØR2024</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</si>
  <si>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</si>
  <si>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</si>
  <si>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</si>
  <si>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</si>
  <si>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</si>
  <si>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Base for anlægsomkostninger til de vejledende økonomiske rammer for 2026</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</si>
  <si>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</si>
  <si>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</si>
  <si>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</si>
  <si>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</si>
  <si>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</si>
  <si>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Nye varige anlægsomkostninger i de økonomiske rammer for 2024</t>
  </si>
  <si>
    <t>Fane 3: Videreførte omkostninger fra den økonomiske ramme for 2023</t>
  </si>
  <si>
    <t>Oversigt over den økonomiske ramme for 2023</t>
  </si>
  <si>
    <t>Videreførte omkostninger fra den økonomiske ramme for 2022</t>
  </si>
  <si>
    <t>Generelt effektiviseringskrav til driftsomkostninger i de vejledende økonomiske rammer for 2027</t>
  </si>
  <si>
    <t>Nye driftsomkostninger til de økonomiske rammer for 2024</t>
  </si>
  <si>
    <t>Fane 2.1: Samlet økonomisk ramme for 2024</t>
  </si>
  <si>
    <t>Periodevise driftsomkostninger til de økonomiske rammer for 2027</t>
  </si>
  <si>
    <t>Periodevise driftsomkostninger i alt i 2027-prisniveau</t>
  </si>
  <si>
    <t>Periodevise driftsomkostninger i alt i 2022-prisniveau</t>
  </si>
  <si>
    <t>Fane 2.4: Samlet økonomisk ramme for 2027</t>
  </si>
  <si>
    <t>Fane 2.3: Samlet økonomisk ramme for 2026</t>
  </si>
  <si>
    <t>Til økonomiske rammer for 2024-2025</t>
  </si>
  <si>
    <t>Videreførte omkostninger fra den økonomiske ramme for 2026</t>
  </si>
  <si>
    <t>Økonomisk ramme for 2027</t>
  </si>
  <si>
    <t>Generelt effektiviseringskrav til driftsomkostninger i de økonomiske rammer for 2024</t>
  </si>
  <si>
    <t>Generelt effektiviseringskrav til driftsomkostninger i de økonomiske rammer for 2025</t>
  </si>
  <si>
    <t>Generelt effektiviseringskrav til anlægsomkostninger i de økonomiske rammer for 2024</t>
  </si>
  <si>
    <t>Generelt effektiviseringskrav til anlægsomkostninger i de økonomiske rammer for 2025</t>
  </si>
  <si>
    <t>Tillæg til den økonomiske ramme for 2027</t>
  </si>
  <si>
    <t>Faktiske ikke-påvirkelige omkostninger i 2022</t>
  </si>
  <si>
    <t>Ikke-påvirkelige omkostninger i 2022-prisniveau</t>
  </si>
  <si>
    <t>Ikke-påvirkelige omkostninger i 2024-prisniveau</t>
  </si>
  <si>
    <t>Nye tillæg i alt i 2023-prisniveau</t>
  </si>
  <si>
    <t>Engangstillæg i alt i 2022-prisniveau</t>
  </si>
  <si>
    <t>Engangstillæg i alt i 2024-prisniveau</t>
  </si>
  <si>
    <t>Tilknyttet virksomhed under hovedvirksomheden i alt (2023-prisniveau)</t>
  </si>
  <si>
    <t>Bortfald eller nedsættelse fra og med den økonomiske ramme for 2024</t>
  </si>
  <si>
    <t>Bortfald eller nedsættelse i alt i 2023-prisniveau</t>
  </si>
  <si>
    <t>Vejledende økonomisk ramme for 2026</t>
  </si>
  <si>
    <t>Vejledende økonomisk ramme for 2027</t>
  </si>
  <si>
    <t>Note: Beregningen af jeres individuelle effektiviseringskrav fremgår af metodepapir samt bilag til benchmarkingmodellen 2024.</t>
  </si>
  <si>
    <t>Ingen anlægsprojekter</t>
  </si>
  <si>
    <t>- Heraf nye omkostninger i 2022 - Drift</t>
  </si>
  <si>
    <t>- Heraf nye omkostninger i 2022 - Anlæg</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</si>
  <si>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</si>
  <si>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</si>
  <si>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</si>
  <si>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</si>
  <si>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</si>
  <si>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</si>
  <si>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Betalinger til projekters medfinansiering ØR (Østbyprojektet)</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</si>
  <si>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</si>
  <si>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</si>
  <si>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</si>
  <si>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</si>
  <si>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Fane 9: Korrektioner af den økonomiske ramme for 2022</t>
  </si>
  <si>
    <t>Korrektioner af den økonomiske ramme for 2022 i alt</t>
  </si>
  <si>
    <t>Fane 7: Kontrol med overholdelse af den økonomiske ramme for 2022</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</si>
  <si>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</si>
  <si>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</si>
  <si>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</si>
  <si>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</si>
  <si>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 2019, 2018</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</si>
  <si>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</si>
  <si>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</si>
  <si>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</si>
  <si>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</si>
  <si>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</si>
  <si>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</si>
  <si>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20611066</t>
  </si>
  <si>
    <t>20611085</t>
  </si>
  <si>
    <t>20611094</t>
  </si>
  <si>
    <t>20611096</t>
  </si>
  <si>
    <t>20611105</t>
  </si>
  <si>
    <t>20611106</t>
  </si>
  <si>
    <t>20611110</t>
  </si>
  <si>
    <t>20621149</t>
  </si>
  <si>
    <t>20612110</t>
  </si>
  <si>
    <t>20612117</t>
  </si>
  <si>
    <t>20612123</t>
  </si>
  <si>
    <t>20612138</t>
  </si>
  <si>
    <t>20612144</t>
  </si>
  <si>
    <t>20612151</t>
  </si>
  <si>
    <t>20612156</t>
  </si>
  <si>
    <t>20612158</t>
  </si>
  <si>
    <t>20612160</t>
  </si>
  <si>
    <t>20612162</t>
  </si>
  <si>
    <t>20612163</t>
  </si>
  <si>
    <t>20612166</t>
  </si>
  <si>
    <t>20612169</t>
  </si>
  <si>
    <t>20612172</t>
  </si>
  <si>
    <t>20612179</t>
  </si>
  <si>
    <t>Ingen engangstillæg</t>
  </si>
  <si>
    <t>Spildevandsafgift</t>
  </si>
  <si>
    <t>Afgift til Forsyningssekretariatet</t>
  </si>
  <si>
    <t xml:space="preserve">Køb af ydelser og produkter fra andre vandselskaber </t>
  </si>
  <si>
    <t>Ejendomsskatter</t>
  </si>
  <si>
    <t>Tjenestemandspensioner</t>
  </si>
  <si>
    <t>Erstatninger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</si>
</sst>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4"/>
      <color theme="1"/>
      <name val="Calibri"/>
      <family val="2"/>
      <scheme val="minor"/>
    </font>
    <font>
      <sz val="10"/>
      <name val="Times New Roman"/>
      <family val="1"/>
    </font>
    <font>
      <sz val="11"/>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7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14" fillId="2" borderId="0" xfId="0" applyFont="1" applyFill="1" applyAlignment="1" applyProtection="1">
      <alignment horizontal="center"/>
    </xf>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2" borderId="0"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7" fillId="3" borderId="1" xfId="0" applyFont="1" applyFill="1" applyBorder="1" applyAlignment="1" applyProtection="1"/>
    <xf numFmtId="0" fontId="8" fillId="4" borderId="2" xfId="0" applyFont="1" applyFill="1" applyBorder="1" applyAlignment="1" applyProtection="1"/>
    <xf numFmtId="1" fontId="8" fillId="0" borderId="1" xfId="0" applyNumberFormat="1" applyFont="1" applyFill="1" applyBorder="1" applyProtection="1"/>
    <xf numFmtId="49" fontId="8" fillId="8" borderId="2" xfId="0" applyNumberFormat="1" applyFont="1" applyFill="1" applyBorder="1" applyAlignment="1" applyProtection="1">
      <alignment horizontal="left"/>
    </xf>
    <xf numFmtId="3" fontId="15" fillId="8" borderId="1" xfId="0" applyNumberFormat="1" applyFont="1" applyFill="1" applyBorder="1" applyProtection="1"/>
    <xf numFmtId="0" fontId="8" fillId="8" borderId="4" xfId="0" applyFont="1" applyFill="1" applyBorder="1" applyAlignment="1" applyProtection="1">
      <alignment horizontal="left" wrapText="1"/>
    </xf>
    <xf numFmtId="3" fontId="0" fillId="2" borderId="0" xfId="0" applyNumberFormat="1" applyFill="1" applyProtection="1"/>
    <xf numFmtId="0" fontId="0" fillId="0" borderId="0" xfId="0" applyFill="1" applyProtection="1"/>
    <xf numFmtId="3" fontId="8" fillId="0" borderId="1" xfId="0" applyNumberFormat="1"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0" fillId="8" borderId="0" xfId="0" applyFill="1" applyProtection="1"/>
    <xf numFmtId="0" fontId="8" fillId="8" borderId="2" xfId="0" applyFont="1" applyFill="1" applyBorder="1" applyAlignment="1" applyProtection="1"/>
    <xf numFmtId="165" fontId="7" fillId="3" borderId="6" xfId="1" applyNumberFormat="1" applyFont="1" applyFill="1" applyBorder="1" applyAlignment="1" applyProtection="1"/>
    <xf numFmtId="165" fontId="0" fillId="2" borderId="0" xfId="1" applyNumberFormat="1" applyFont="1" applyFill="1" applyProtection="1"/>
    <xf numFmtId="165" fontId="7" fillId="2" borderId="0" xfId="1" applyNumberFormat="1" applyFont="1" applyFill="1" applyBorder="1" applyAlignment="1" applyProtection="1"/>
    <xf numFmtId="165" fontId="0" fillId="0" borderId="0" xfId="1" applyNumberFormat="1" applyFont="1" applyProtection="1"/>
    <xf numFmtId="10" fontId="8" fillId="0" borderId="1" xfId="4" applyNumberFormat="1" applyFont="1" applyFill="1" applyBorder="1" applyAlignment="1" applyProtection="1"/>
    <xf numFmtId="165" fontId="8" fillId="8" borderId="1" xfId="1" applyNumberFormat="1" applyFont="1" applyFill="1" applyBorder="1" applyProtection="1"/>
    <xf numFmtId="165" fontId="8" fillId="8" borderId="1" xfId="0" applyNumberFormat="1" applyFont="1" applyFill="1" applyBorder="1" applyProtection="1"/>
    <xf numFmtId="165" fontId="7" fillId="3" borderId="2" xfId="0" applyNumberFormat="1" applyFont="1" applyFill="1" applyBorder="1" applyAlignment="1" applyProtection="1"/>
    <xf numFmtId="165" fontId="7" fillId="3" borderId="6" xfId="0" applyNumberFormat="1" applyFont="1" applyFill="1" applyBorder="1" applyAlignment="1" applyProtection="1"/>
    <xf numFmtId="165" fontId="7" fillId="3" borderId="3"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165" fontId="7" fillId="2" borderId="0" xfId="0" applyNumberFormat="1" applyFont="1" applyFill="1" applyBorder="1" applyAlignment="1" applyProtection="1"/>
    <xf numFmtId="165" fontId="7" fillId="3" borderId="6" xfId="1" applyNumberFormat="1" applyFont="1" applyFill="1" applyBorder="1" applyAlignment="1" applyProtection="1">
      <alignment horizontal="left"/>
    </xf>
    <xf numFmtId="10" fontId="8" fillId="0" borderId="3" xfId="4" applyNumberFormat="1" applyFont="1" applyFill="1" applyBorder="1" applyProtection="1"/>
    <xf numFmtId="0" fontId="8" fillId="8" borderId="2" xfId="0" applyFont="1" applyFill="1" applyBorder="1" applyAlignment="1" applyProtection="1">
      <alignment wrapText="1"/>
    </xf>
    <xf numFmtId="0" fontId="8" fillId="8" borderId="2" xfId="0" quotePrefix="1" applyFont="1" applyFill="1" applyBorder="1" applyAlignment="1" applyProtection="1">
      <alignmen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66" fontId="8" fillId="8" borderId="1" xfId="1" applyNumberFormat="1" applyFont="1" applyFill="1" applyBorder="1" applyProtection="1"/>
    <xf numFmtId="166" fontId="8" fillId="0" borderId="1" xfId="1" applyNumberFormat="1" applyFont="1" applyFill="1" applyBorder="1" applyProtection="1"/>
    <xf numFmtId="3" fontId="8" fillId="4" borderId="3"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165" fontId="8" fillId="8" borderId="2" xfId="0" applyNumberFormat="1" applyFont="1" applyFill="1" applyBorder="1" applyAlignment="1" applyProtection="1">
      <alignment horizontal="left"/>
    </xf>
    <xf numFmtId="165" fontId="8" fillId="8" borderId="6" xfId="0" applyNumberFormat="1" applyFont="1" applyFill="1" applyBorder="1" applyAlignment="1" applyProtection="1">
      <alignment horizontal="left"/>
    </xf>
    <xf numFmtId="165" fontId="8" fillId="8" borderId="3" xfId="0" applyNumberFormat="1" applyFont="1" applyFill="1" applyBorder="1" applyAlignment="1" applyProtection="1">
      <alignment horizontal="left"/>
    </xf>
    <xf numFmtId="165" fontId="7" fillId="3" borderId="2" xfId="0" applyNumberFormat="1" applyFont="1" applyFill="1" applyBorder="1" applyAlignment="1" applyProtection="1">
      <alignment horizontal="left"/>
    </xf>
    <xf numFmtId="165" fontId="7" fillId="3" borderId="6" xfId="0" applyNumberFormat="1" applyFont="1" applyFill="1" applyBorder="1" applyAlignment="1" applyProtection="1">
      <alignment horizontal="left"/>
    </xf>
    <xf numFmtId="165" fontId="7" fillId="3" borderId="3" xfId="0" applyNumberFormat="1"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10" fontId="16" fillId="0" borderId="1" xfId="4" applyNumberFormat="1" applyFont="1" applyFill="1" applyBorder="1" applyProtection="1"/>
    <xf numFmtId="0" fontId="1" fillId="9" borderId="4" xfId="2" applyFont="1" applyFill="1" applyBorder="1" applyAlignment="1" applyProtection="1">
      <alignment horizontal="center"/>
    </xf>
    <xf numFmtId="0" fontId="1" fillId="9" borderId="0" xfId="2" applyFont="1" applyFill="1" applyBorder="1" applyAlignment="1" applyProtection="1">
      <alignment horizontal="center"/>
    </xf>
    <xf numFmtId="0" fontId="1" fillId="9" borderId="5"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13" fillId="2" borderId="0" xfId="0" applyFont="1" applyFill="1" applyAlignment="1" applyProtection="1">
      <alignment horizontal="center"/>
    </xf>
    <xf numFmtId="0" fontId="8" fillId="0" borderId="7" xfId="0" applyFont="1" applyFill="1" applyBorder="1" applyAlignment="1" applyProtection="1">
      <alignment vertical="center" wrapText="1"/>
    </xf>
    <xf numFmtId="0" fontId="2" fillId="2" borderId="0" xfId="0" applyFont="1" applyFill="1" applyAlignment="1" applyProtection="1">
      <alignment horizontal="center" vertical="center" wrapText="1"/>
    </xf>
    <xf numFmtId="165" fontId="8" fillId="8" borderId="2" xfId="0" applyNumberFormat="1" applyFont="1" applyFill="1" applyBorder="1" applyAlignment="1" applyProtection="1"/>
    <xf numFmtId="165" fontId="8" fillId="8" borderId="6" xfId="0" applyNumberFormat="1" applyFont="1" applyFill="1" applyBorder="1" applyAlignment="1" applyProtection="1"/>
    <xf numFmtId="165" fontId="8" fillId="8" borderId="3" xfId="0" applyNumberFormat="1" applyFont="1" applyFill="1" applyBorder="1" applyAlignment="1" applyProtection="1"/>
    <xf numFmtId="165" fontId="8" fillId="8" borderId="2" xfId="0" applyNumberFormat="1" applyFont="1" applyFill="1" applyBorder="1" applyAlignment="1" applyProtection="1">
      <alignment horizontal="left"/>
    </xf>
    <xf numFmtId="165" fontId="8" fillId="8" borderId="6" xfId="0" applyNumberFormat="1" applyFont="1" applyFill="1" applyBorder="1" applyAlignment="1" applyProtection="1">
      <alignment horizontal="left"/>
    </xf>
    <xf numFmtId="165" fontId="8" fillId="8" borderId="3" xfId="0" applyNumberFormat="1" applyFont="1" applyFill="1" applyBorder="1" applyAlignment="1" applyProtection="1">
      <alignment horizontal="left"/>
    </xf>
    <xf numFmtId="165" fontId="7" fillId="3" borderId="2" xfId="0" applyNumberFormat="1" applyFont="1" applyFill="1" applyBorder="1" applyAlignment="1" applyProtection="1">
      <alignment horizontal="left"/>
    </xf>
    <xf numFmtId="165" fontId="7" fillId="3" borderId="6" xfId="0" applyNumberFormat="1" applyFont="1" applyFill="1" applyBorder="1" applyAlignment="1" applyProtection="1">
      <alignment horizontal="left"/>
    </xf>
    <xf numFmtId="165" fontId="7" fillId="3" borderId="3" xfId="0" applyNumberFormat="1"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165" fontId="8" fillId="8" borderId="2" xfId="0" applyNumberFormat="1" applyFont="1" applyFill="1" applyBorder="1" applyAlignment="1" applyProtection="1">
      <alignment horizontal="left" wrapText="1"/>
    </xf>
    <xf numFmtId="165" fontId="8" fillId="8" borderId="6" xfId="0" applyNumberFormat="1" applyFont="1" applyFill="1" applyBorder="1" applyAlignment="1" applyProtection="1">
      <alignment horizontal="left" wrapText="1"/>
    </xf>
    <xf numFmtId="165" fontId="8" fillId="8" borderId="3" xfId="0" applyNumberFormat="1" applyFont="1" applyFill="1" applyBorder="1" applyAlignment="1" applyProtection="1">
      <alignment horizontal="left" wrapText="1"/>
    </xf>
    <xf numFmtId="165" fontId="8" fillId="8" borderId="2" xfId="0" quotePrefix="1" applyNumberFormat="1" applyFont="1" applyFill="1" applyBorder="1" applyAlignment="1" applyProtection="1"/>
    <xf numFmtId="165" fontId="8" fillId="8" borderId="6" xfId="0" quotePrefix="1" applyNumberFormat="1" applyFont="1" applyFill="1" applyBorder="1" applyAlignment="1" applyProtection="1"/>
    <xf numFmtId="165" fontId="8" fillId="8" borderId="3" xfId="0" quotePrefix="1" applyNumberFormat="1" applyFont="1" applyFill="1" applyBorder="1" applyAlignment="1" applyProtection="1"/>
    <xf numFmtId="0" fontId="2" fillId="2" borderId="0" xfId="0" applyFont="1" applyFill="1" applyAlignment="1" applyProtection="1">
      <alignment horizontal="center" wrapText="1"/>
    </xf>
    <xf numFmtId="0" fontId="8" fillId="8" borderId="2" xfId="0" applyFont="1" applyFill="1" applyBorder="1" applyAlignment="1" applyProtection="1">
      <alignment horizontal="left" vertical="center" wrapText="1"/>
    </xf>
    <xf numFmtId="0" fontId="8" fillId="8" borderId="6" xfId="0" applyFont="1" applyFill="1" applyBorder="1" applyAlignment="1" applyProtection="1">
      <alignment horizontal="left" vertical="center" wrapText="1"/>
    </xf>
    <xf numFmtId="0" fontId="8" fillId="8" borderId="3" xfId="0" applyFont="1" applyFill="1" applyBorder="1" applyAlignment="1" applyProtection="1">
      <alignment horizontal="left"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7" t="s">
        <v>4</v>
      </c>
      <c r="E6" s="107"/>
      <c r="F6" s="107"/>
      <c r="G6" s="107"/>
      <c r="H6" s="3"/>
      <c r="I6" s="1"/>
    </row>
    <row r="7" spans="1:9" ht="15" customHeight="1" x14ac:dyDescent="0.25">
      <c r="A7" s="1"/>
      <c r="B7" s="1"/>
      <c r="C7" s="3"/>
      <c r="D7" s="107"/>
      <c r="E7" s="107"/>
      <c r="F7" s="107"/>
      <c r="G7" s="107"/>
      <c r="H7" s="3"/>
      <c r="I7" s="1"/>
    </row>
    <row r="8" spans="1:9" ht="15.75" x14ac:dyDescent="0.25">
      <c r="A8" s="1"/>
      <c r="B8" s="1"/>
      <c r="C8" s="4"/>
      <c r="D8" s="109" t="s">
        <v>250</v>
      </c>
      <c r="E8" s="109"/>
      <c r="F8" s="109"/>
      <c r="G8" s="109"/>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8" t="s">
        <v>5</v>
      </c>
      <c r="E11" s="108"/>
      <c r="F11" s="108"/>
      <c r="G11" s="108"/>
      <c r="H11" s="5"/>
      <c r="I11" s="1"/>
    </row>
    <row r="12" spans="1:9" x14ac:dyDescent="0.25">
      <c r="A12" s="1"/>
      <c r="B12" s="1"/>
      <c r="C12" s="1"/>
      <c r="D12" s="1"/>
      <c r="E12" s="1"/>
      <c r="F12" s="1"/>
      <c r="G12" s="1"/>
      <c r="H12" s="1"/>
      <c r="I12" s="1"/>
    </row>
    <row r="13" spans="1:9" x14ac:dyDescent="0.25">
      <c r="A13" s="1"/>
      <c r="B13" s="1"/>
      <c r="C13" s="6" t="s">
        <v>6</v>
      </c>
      <c r="D13" s="110" t="s">
        <v>219</v>
      </c>
      <c r="E13" s="111"/>
      <c r="F13" s="111"/>
      <c r="G13" s="112"/>
      <c r="H13" s="1"/>
      <c r="I13" s="1"/>
    </row>
    <row r="14" spans="1:9" x14ac:dyDescent="0.25">
      <c r="A14" s="1"/>
      <c r="B14" s="1"/>
      <c r="C14" s="6" t="s">
        <v>16</v>
      </c>
      <c r="D14" s="110" t="s">
        <v>223</v>
      </c>
      <c r="E14" s="111"/>
      <c r="F14" s="111"/>
      <c r="G14" s="112"/>
      <c r="H14" s="1"/>
      <c r="I14" s="1"/>
    </row>
    <row r="15" spans="1:9" x14ac:dyDescent="0.25">
      <c r="A15" s="1"/>
      <c r="B15" s="1"/>
      <c r="C15" s="6" t="s">
        <v>32</v>
      </c>
      <c r="D15" s="110" t="s">
        <v>267</v>
      </c>
      <c r="E15" s="111"/>
      <c r="F15" s="111"/>
      <c r="G15" s="112"/>
      <c r="H15" s="1"/>
      <c r="I15" s="1"/>
    </row>
    <row r="16" spans="1:9" x14ac:dyDescent="0.25">
      <c r="A16" s="1"/>
      <c r="B16" s="1"/>
      <c r="C16" s="6" t="s">
        <v>33</v>
      </c>
      <c r="D16" s="110" t="s">
        <v>268</v>
      </c>
      <c r="E16" s="111"/>
      <c r="F16" s="111"/>
      <c r="G16" s="112"/>
      <c r="H16" s="1"/>
      <c r="I16" s="1"/>
    </row>
    <row r="17" spans="1:9" x14ac:dyDescent="0.25">
      <c r="A17" s="1"/>
      <c r="B17" s="1"/>
      <c r="C17" s="6" t="s">
        <v>100</v>
      </c>
      <c r="D17" s="110" t="s">
        <v>220</v>
      </c>
      <c r="E17" s="111"/>
      <c r="F17" s="111"/>
      <c r="G17" s="112"/>
      <c r="H17" s="1"/>
      <c r="I17" s="1"/>
    </row>
    <row r="18" spans="1:9" x14ac:dyDescent="0.25">
      <c r="A18" s="1"/>
      <c r="B18" s="1"/>
      <c r="C18" s="6" t="s">
        <v>85</v>
      </c>
      <c r="D18" s="113" t="s">
        <v>75</v>
      </c>
      <c r="E18" s="114"/>
      <c r="F18" s="114"/>
      <c r="G18" s="115"/>
      <c r="H18" s="1"/>
      <c r="I18" s="1"/>
    </row>
    <row r="19" spans="1:9" x14ac:dyDescent="0.25">
      <c r="A19" s="1"/>
      <c r="B19" s="1"/>
      <c r="C19" s="6" t="s">
        <v>86</v>
      </c>
      <c r="D19" s="113" t="s">
        <v>76</v>
      </c>
      <c r="E19" s="114"/>
      <c r="F19" s="114"/>
      <c r="G19" s="115"/>
      <c r="H19" s="1"/>
      <c r="I19" s="1"/>
    </row>
    <row r="20" spans="1:9" x14ac:dyDescent="0.25">
      <c r="A20" s="1"/>
      <c r="B20" s="1"/>
      <c r="C20" s="6" t="s">
        <v>7</v>
      </c>
      <c r="D20" s="113" t="s">
        <v>10</v>
      </c>
      <c r="E20" s="114"/>
      <c r="F20" s="114"/>
      <c r="G20" s="115"/>
      <c r="H20" s="1"/>
      <c r="I20" s="1"/>
    </row>
    <row r="21" spans="1:9" x14ac:dyDescent="0.25">
      <c r="A21" s="1"/>
      <c r="B21" s="1"/>
      <c r="C21" s="6" t="s">
        <v>87</v>
      </c>
      <c r="D21" s="101" t="s">
        <v>12</v>
      </c>
      <c r="E21" s="102"/>
      <c r="F21" s="102"/>
      <c r="G21" s="103"/>
      <c r="H21" s="1"/>
      <c r="I21" s="1"/>
    </row>
    <row r="22" spans="1:9" x14ac:dyDescent="0.25">
      <c r="A22" s="1"/>
      <c r="B22" s="1"/>
      <c r="C22" s="6" t="s">
        <v>67</v>
      </c>
      <c r="D22" s="104" t="s">
        <v>221</v>
      </c>
      <c r="E22" s="105"/>
      <c r="F22" s="105"/>
      <c r="G22" s="106"/>
      <c r="H22" s="1"/>
      <c r="I22" s="1"/>
    </row>
    <row r="23" spans="1:9" x14ac:dyDescent="0.25">
      <c r="A23" s="1"/>
      <c r="B23" s="1"/>
      <c r="C23" s="6" t="s">
        <v>8</v>
      </c>
      <c r="D23" s="104" t="s">
        <v>192</v>
      </c>
      <c r="E23" s="105"/>
      <c r="F23" s="105"/>
      <c r="G23" s="106"/>
      <c r="H23" s="1"/>
      <c r="I23" s="1"/>
    </row>
    <row r="24" spans="1:9" x14ac:dyDescent="0.25">
      <c r="A24" s="1"/>
      <c r="B24" s="1"/>
      <c r="C24" s="6" t="s">
        <v>9</v>
      </c>
      <c r="D24" s="104" t="s">
        <v>222</v>
      </c>
      <c r="E24" s="105"/>
      <c r="F24" s="105"/>
      <c r="G24" s="106"/>
      <c r="H24" s="1"/>
      <c r="I24" s="1"/>
    </row>
    <row r="25" spans="1:9" x14ac:dyDescent="0.25">
      <c r="A25" s="1"/>
      <c r="B25" s="1"/>
      <c r="C25" s="6" t="s">
        <v>212</v>
      </c>
      <c r="D25" s="104" t="s">
        <v>187</v>
      </c>
      <c r="E25" s="105"/>
      <c r="F25" s="105"/>
      <c r="G25" s="106"/>
      <c r="H25" s="1"/>
      <c r="I25" s="1"/>
    </row>
    <row r="26" spans="1:9" x14ac:dyDescent="0.25">
      <c r="A26" s="1"/>
      <c r="B26" s="1"/>
      <c r="C26" s="6" t="s">
        <v>213</v>
      </c>
      <c r="D26" s="104" t="s">
        <v>68</v>
      </c>
      <c r="E26" s="105"/>
      <c r="F26" s="105"/>
      <c r="G26" s="106"/>
      <c r="H26" s="1"/>
      <c r="I26" s="1"/>
    </row>
    <row r="27" spans="1:9" x14ac:dyDescent="0.25">
      <c r="A27" s="1"/>
      <c r="B27" s="1"/>
      <c r="C27" s="6" t="s">
        <v>214</v>
      </c>
      <c r="D27" s="104" t="s">
        <v>69</v>
      </c>
      <c r="E27" s="105"/>
      <c r="F27" s="105"/>
      <c r="G27" s="106"/>
      <c r="H27" s="1"/>
      <c r="I27" s="1"/>
    </row>
    <row r="28" spans="1:9" x14ac:dyDescent="0.25">
      <c r="A28" s="1"/>
      <c r="B28" s="1"/>
      <c r="C28" s="6" t="s">
        <v>15</v>
      </c>
      <c r="D28" s="104" t="s">
        <v>70</v>
      </c>
      <c r="E28" s="105"/>
      <c r="F28" s="105"/>
      <c r="G28" s="106"/>
      <c r="H28" s="1"/>
      <c r="I28" s="1"/>
    </row>
    <row r="29" spans="1:9" x14ac:dyDescent="0.25">
      <c r="A29" s="1"/>
      <c r="B29" s="1"/>
      <c r="C29" s="6" t="s">
        <v>35</v>
      </c>
      <c r="D29" s="104" t="s">
        <v>103</v>
      </c>
      <c r="E29" s="105"/>
      <c r="F29" s="105"/>
      <c r="G29" s="106"/>
      <c r="H29" s="1"/>
      <c r="I29" s="1"/>
    </row>
    <row r="30" spans="1:9" x14ac:dyDescent="0.25">
      <c r="A30" s="1"/>
      <c r="B30" s="1"/>
      <c r="C30" s="6" t="s">
        <v>36</v>
      </c>
      <c r="D30" s="104" t="s">
        <v>34</v>
      </c>
      <c r="E30" s="105"/>
      <c r="F30" s="105"/>
      <c r="G30" s="106"/>
      <c r="H30" s="1"/>
      <c r="I30" s="1"/>
    </row>
    <row r="31" spans="1:9" x14ac:dyDescent="0.25">
      <c r="A31" s="1"/>
      <c r="B31" s="1"/>
      <c r="C31" s="6" t="s">
        <v>215</v>
      </c>
      <c r="D31" s="98" t="s">
        <v>84</v>
      </c>
      <c r="E31" s="99"/>
      <c r="F31" s="99"/>
      <c r="G31" s="100"/>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9"/>
      <c r="B51" s="39"/>
      <c r="C51" s="39"/>
      <c r="D51" s="39"/>
      <c r="E51" s="39"/>
      <c r="F51" s="39"/>
      <c r="G51" s="39"/>
      <c r="H51" s="39"/>
      <c r="I51" s="39"/>
    </row>
  </sheetData>
  <sheetProtection algorithmName="SHA-512" hashValue="O7qchDxGNpkyd51gLd65yrrdlvwxV6qrkklitQXceff/rOK9krAdTHq0a1Z5UcTJk+YbQ91Ic+ntyFVJL5QJLA==" saltValue="BXo0crBvoicptyBgRCU92g==" spinCount="100000" sheet="1" objects="1" scenarios="1"/>
  <mergeCells count="22">
    <mergeCell ref="D6:G7"/>
    <mergeCell ref="D22:G22"/>
    <mergeCell ref="D11:G11"/>
    <mergeCell ref="D8:G8"/>
    <mergeCell ref="D15:G15"/>
    <mergeCell ref="D16:G16"/>
    <mergeCell ref="D13:G13"/>
    <mergeCell ref="D17:G17"/>
    <mergeCell ref="D18:G18"/>
    <mergeCell ref="D19:G19"/>
    <mergeCell ref="D20:G20"/>
    <mergeCell ref="D14:G14"/>
    <mergeCell ref="D31:G31"/>
    <mergeCell ref="D21:G21"/>
    <mergeCell ref="D25:G25"/>
    <mergeCell ref="D26:G26"/>
    <mergeCell ref="D29:G29"/>
    <mergeCell ref="D27:G27"/>
    <mergeCell ref="D28:G28"/>
    <mergeCell ref="D24:G24"/>
    <mergeCell ref="D30:G30"/>
    <mergeCell ref="D23:G23"/>
  </mergeCells>
  <hyperlinks>
    <hyperlink ref="D14:G14" location="'Fane 2.2. Økonomisk ramme 2025'!A1" display="Vejledende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3"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1" xr:uid="{00000000-0004-0000-0000-000008000000}"/>
    <hyperlink ref="D25:G25" location="'Fane 10. Anlægsprojekter (§19) '!A1" display="Anlægsprojekter (§ 19) " xr:uid="{00000000-0004-0000-0000-000009000000}"/>
    <hyperlink ref="D31:G31" location="'Fane 15. Nøgletal'!A1" display="Nøgletal" xr:uid="{00000000-0004-0000-0000-00000A000000}"/>
    <hyperlink ref="D17:G17" location="'Fane 3. Omkostninger i ØR2023'!A1" display="Omkostninger i ØR2023" xr:uid="{00000000-0004-0000-0000-00000B000000}"/>
    <hyperlink ref="D27:G27" location="'Fane 11.2. Engangstillæg'!A1" display="Engangstillæg" xr:uid="{00000000-0004-0000-0000-00000C000000}"/>
    <hyperlink ref="D28:G28" location="'Fane 12. Periodevise driftsomk.'!A1" display="Periodevise driftsomkostninger" xr:uid="{00000000-0004-0000-0000-00000D000000}"/>
    <hyperlink ref="D24:G24" location="'Fane 9. Korrektion af ØR2022'!A1" display="Korrektion af den økonomiske ramme for 2021" xr:uid="{00000000-0004-0000-0000-00000E000000}"/>
    <hyperlink ref="D19:G19" location="'Fane 4.2. Gen. krav - anlæg'!A1" display="Generelt effektiviseringskrav på anlæg" xr:uid="{00000000-0004-0000-0000-00000F000000}"/>
    <hyperlink ref="D20:G20" location="'Fane 5. Individuelt eff. krav'!A1" display="Individuelt effektiviseringskrav" xr:uid="{00000000-0004-0000-0000-000010000000}"/>
    <hyperlink ref="D18:G18" location="'Fane 4.1. Gen. krav - drift'!A1" display="Generelt effektiviseringskrav på drift"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1"/>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16" t="s">
        <v>88</v>
      </c>
      <c r="C3" s="116"/>
      <c r="D3" s="116"/>
      <c r="E3" s="1"/>
      <c r="F3" s="1"/>
    </row>
    <row r="4" spans="1:6" ht="15" customHeight="1" x14ac:dyDescent="0.25">
      <c r="A4" s="1"/>
      <c r="B4" s="116"/>
      <c r="C4" s="116"/>
      <c r="D4" s="116"/>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2" t="s">
        <v>258</v>
      </c>
      <c r="C8" s="133"/>
      <c r="D8" s="134"/>
      <c r="E8" s="1"/>
      <c r="F8" s="1"/>
    </row>
    <row r="9" spans="1:6" ht="15" customHeight="1" x14ac:dyDescent="0.25">
      <c r="A9" s="1"/>
      <c r="B9" s="33" t="s">
        <v>30</v>
      </c>
      <c r="C9" s="11" t="s">
        <v>188</v>
      </c>
      <c r="D9" s="11"/>
      <c r="E9" s="1"/>
      <c r="F9" s="1"/>
    </row>
    <row r="10" spans="1:6" ht="15" customHeight="1" x14ac:dyDescent="0.25">
      <c r="A10" s="1"/>
      <c r="B10" s="51" t="s">
        <v>322</v>
      </c>
      <c r="C10" s="9">
        <v>2955013</v>
      </c>
      <c r="D10" s="14" t="s">
        <v>3</v>
      </c>
      <c r="E10" s="1"/>
      <c r="F10" s="1"/>
    </row>
    <row r="11" spans="1:6" ht="15" customHeight="1" x14ac:dyDescent="0.25">
      <c r="A11" s="1"/>
      <c r="B11" s="51" t="s">
        <v>323</v>
      </c>
      <c r="C11" s="9">
        <v>190340</v>
      </c>
      <c r="D11" s="14" t="s">
        <v>3</v>
      </c>
      <c r="E11" s="1"/>
      <c r="F11" s="1"/>
    </row>
    <row r="12" spans="1:6" ht="15" customHeight="1" x14ac:dyDescent="0.25">
      <c r="A12" s="1"/>
      <c r="B12" s="51" t="s">
        <v>324</v>
      </c>
      <c r="C12" s="9">
        <v>561757</v>
      </c>
      <c r="D12" s="14"/>
      <c r="E12" s="1"/>
      <c r="F12" s="1"/>
    </row>
    <row r="13" spans="1:6" ht="15" customHeight="1" x14ac:dyDescent="0.25">
      <c r="A13" s="1"/>
      <c r="B13" s="51" t="s">
        <v>325</v>
      </c>
      <c r="C13" s="9">
        <v>398619</v>
      </c>
      <c r="D13" s="14"/>
      <c r="E13" s="1"/>
      <c r="F13" s="1"/>
    </row>
    <row r="14" spans="1:6" ht="15" customHeight="1" x14ac:dyDescent="0.25">
      <c r="A14" s="1"/>
      <c r="B14" s="51" t="s">
        <v>326</v>
      </c>
      <c r="C14" s="9">
        <v>301404</v>
      </c>
      <c r="D14" s="14"/>
      <c r="E14" s="1"/>
      <c r="F14" s="1"/>
    </row>
    <row r="15" spans="1:6" x14ac:dyDescent="0.25">
      <c r="A15" s="1"/>
      <c r="B15" s="51" t="s">
        <v>327</v>
      </c>
      <c r="C15" s="9">
        <v>434637</v>
      </c>
      <c r="D15" s="14" t="s">
        <v>3</v>
      </c>
      <c r="E15" s="1"/>
      <c r="F15" s="1"/>
    </row>
    <row r="16" spans="1:6" ht="26.25" x14ac:dyDescent="0.25">
      <c r="A16" s="1"/>
      <c r="B16" s="67" t="s">
        <v>279</v>
      </c>
      <c r="C16" s="9">
        <v>2165042</v>
      </c>
      <c r="D16" s="14" t="s">
        <v>3</v>
      </c>
      <c r="E16" s="1"/>
      <c r="F16" s="1"/>
    </row>
    <row r="17" spans="1:6" x14ac:dyDescent="0.25">
      <c r="A17" s="1"/>
      <c r="B17" s="51"/>
      <c r="C17" s="9"/>
      <c r="D17" s="14" t="s">
        <v>3</v>
      </c>
      <c r="E17" s="1"/>
      <c r="F17" s="1"/>
    </row>
    <row r="18" spans="1:6" x14ac:dyDescent="0.25">
      <c r="A18" s="1"/>
      <c r="B18" s="30" t="s">
        <v>259</v>
      </c>
      <c r="C18" s="12">
        <f>SUM(C10:C17)</f>
        <v>7006812</v>
      </c>
      <c r="D18" s="13" t="s">
        <v>3</v>
      </c>
      <c r="E18" s="1"/>
      <c r="F18" s="1"/>
    </row>
    <row r="19" spans="1:6" x14ac:dyDescent="0.25">
      <c r="A19" s="1"/>
      <c r="B19" s="30" t="s">
        <v>260</v>
      </c>
      <c r="C19" s="12">
        <f>C18*(1+'Fane 15. Nøgletal'!C16)^2</f>
        <v>8184857.7722956799</v>
      </c>
      <c r="D19" s="13" t="s">
        <v>3</v>
      </c>
      <c r="E19" s="1"/>
      <c r="F19" s="1"/>
    </row>
    <row r="20" spans="1:6" x14ac:dyDescent="0.25">
      <c r="A20" s="1"/>
      <c r="B20" s="16"/>
      <c r="C20" s="15"/>
      <c r="D20" s="15"/>
      <c r="E20" s="1"/>
      <c r="F20" s="1"/>
    </row>
    <row r="21" spans="1:6" x14ac:dyDescent="0.25">
      <c r="A21" s="1"/>
      <c r="B21" s="16"/>
      <c r="C21" s="15"/>
      <c r="D21" s="15"/>
      <c r="E21" s="1"/>
      <c r="F21" s="1"/>
    </row>
    <row r="22" spans="1:6" x14ac:dyDescent="0.25">
      <c r="A22" s="1"/>
      <c r="B22" s="132" t="s">
        <v>96</v>
      </c>
      <c r="C22" s="133"/>
      <c r="D22" s="134"/>
      <c r="E22" s="1"/>
      <c r="F22" s="1"/>
    </row>
    <row r="23" spans="1:6" x14ac:dyDescent="0.25">
      <c r="A23" s="1"/>
      <c r="B23" s="51" t="s">
        <v>216</v>
      </c>
      <c r="C23" s="9">
        <v>2409436</v>
      </c>
      <c r="D23" s="14" t="s">
        <v>3</v>
      </c>
      <c r="E23" s="1"/>
      <c r="F23" s="1"/>
    </row>
    <row r="24" spans="1:6" x14ac:dyDescent="0.25">
      <c r="A24" s="1"/>
      <c r="B24" s="51" t="s">
        <v>217</v>
      </c>
      <c r="C24" s="9">
        <v>2420191</v>
      </c>
      <c r="D24" s="14" t="s">
        <v>3</v>
      </c>
      <c r="E24" s="1"/>
      <c r="F24" s="1"/>
    </row>
    <row r="25" spans="1:6" x14ac:dyDescent="0.25">
      <c r="A25" s="1"/>
      <c r="B25" s="51" t="s">
        <v>218</v>
      </c>
      <c r="C25" s="9">
        <v>2431162</v>
      </c>
      <c r="D25" s="14" t="s">
        <v>3</v>
      </c>
      <c r="E25" s="1"/>
      <c r="F25" s="1"/>
    </row>
    <row r="26" spans="1:6" x14ac:dyDescent="0.25">
      <c r="A26" s="1"/>
      <c r="B26" s="26" t="s">
        <v>257</v>
      </c>
      <c r="C26" s="9">
        <v>2442353</v>
      </c>
      <c r="D26" s="14" t="s">
        <v>3</v>
      </c>
      <c r="E26" s="1"/>
      <c r="F26" s="1"/>
    </row>
    <row r="27" spans="1:6" x14ac:dyDescent="0.25">
      <c r="A27" s="1"/>
      <c r="B27" s="132"/>
      <c r="C27" s="133"/>
      <c r="D27" s="134"/>
      <c r="E27" s="1"/>
      <c r="F27" s="1"/>
    </row>
    <row r="28" spans="1:6" x14ac:dyDescent="0.25">
      <c r="A28" s="1"/>
      <c r="B28" s="1"/>
      <c r="C28" s="1"/>
      <c r="D28" s="1"/>
      <c r="E28" s="1"/>
      <c r="F28" s="1"/>
    </row>
    <row r="29" spans="1:6" x14ac:dyDescent="0.25">
      <c r="A29" s="1"/>
      <c r="B29" s="1"/>
      <c r="C29" s="1"/>
      <c r="D29" s="1"/>
      <c r="E29" s="1"/>
      <c r="F29" s="1"/>
    </row>
    <row r="30" spans="1:6" x14ac:dyDescent="0.25">
      <c r="A30" s="1"/>
      <c r="B30" s="132" t="s">
        <v>78</v>
      </c>
      <c r="C30" s="133"/>
      <c r="D30" s="134"/>
      <c r="E30" s="1"/>
      <c r="F30" s="1"/>
    </row>
    <row r="31" spans="1:6" x14ac:dyDescent="0.25">
      <c r="A31" s="1"/>
      <c r="B31" s="51" t="s">
        <v>216</v>
      </c>
      <c r="C31" s="9">
        <v>0</v>
      </c>
      <c r="D31" s="14" t="s">
        <v>3</v>
      </c>
      <c r="E31" s="1"/>
      <c r="F31" s="1"/>
    </row>
    <row r="32" spans="1:6" x14ac:dyDescent="0.25">
      <c r="A32" s="1"/>
      <c r="B32" s="51" t="s">
        <v>217</v>
      </c>
      <c r="C32" s="9">
        <v>0</v>
      </c>
      <c r="D32" s="14" t="s">
        <v>3</v>
      </c>
      <c r="E32" s="1"/>
      <c r="F32" s="1"/>
    </row>
    <row r="33" spans="1:6" x14ac:dyDescent="0.25">
      <c r="A33" s="1"/>
      <c r="B33" s="51" t="s">
        <v>218</v>
      </c>
      <c r="C33" s="9">
        <v>0</v>
      </c>
      <c r="D33" s="14" t="s">
        <v>3</v>
      </c>
      <c r="E33" s="1"/>
      <c r="F33" s="1"/>
    </row>
    <row r="34" spans="1:6" x14ac:dyDescent="0.25">
      <c r="A34" s="1"/>
      <c r="B34" s="26" t="s">
        <v>257</v>
      </c>
      <c r="C34" s="9">
        <v>0</v>
      </c>
      <c r="D34" s="14" t="s">
        <v>3</v>
      </c>
      <c r="E34" s="1"/>
      <c r="F34" s="1"/>
    </row>
    <row r="35" spans="1:6" x14ac:dyDescent="0.25">
      <c r="A35" s="1"/>
      <c r="B35" s="132"/>
      <c r="C35" s="133"/>
      <c r="D35" s="134"/>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39"/>
      <c r="B50" s="39"/>
      <c r="C50" s="39"/>
      <c r="D50" s="39"/>
      <c r="E50" s="39"/>
      <c r="F50" s="39"/>
    </row>
    <row r="51" spans="1:6" x14ac:dyDescent="0.25">
      <c r="A51" s="39"/>
      <c r="B51" s="39"/>
      <c r="C51" s="39"/>
      <c r="D51" s="39"/>
      <c r="E51" s="39"/>
      <c r="F51" s="39"/>
    </row>
  </sheetData>
  <sheetProtection algorithmName="SHA-512" hashValue="YoYgMgcZeBhzB3ouF/DATks1PUcZMWbh8QnvKqfWgGjbNKR+7nq3cGSS6Ft4d/P+QG8qZwb3tYJMTp2yaWYd6w==" saltValue="oopJd3Rwq+gNmaCWssHg3Q==" spinCount="100000" sheet="1" objects="1" scenarios="1"/>
  <mergeCells count="6">
    <mergeCell ref="B35:D35"/>
    <mergeCell ref="B3:D4"/>
    <mergeCell ref="B8:D8"/>
    <mergeCell ref="B22:D22"/>
    <mergeCell ref="B30:D30"/>
    <mergeCell ref="B27:D27"/>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D3154-878B-4FCB-8423-4A835A2BF312}">
  <dimension ref="A1:G54"/>
  <sheetViews>
    <sheetView showGridLines="0" view="pageLayout" zoomScale="90" zoomScaleNormal="100" zoomScalePageLayoutView="9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286</v>
      </c>
      <c r="C3" s="122"/>
      <c r="D3" s="122"/>
      <c r="E3" s="122"/>
      <c r="F3" s="122"/>
      <c r="G3" s="1"/>
    </row>
    <row r="4" spans="1:7" ht="15" customHeight="1" x14ac:dyDescent="0.25">
      <c r="A4" s="1"/>
      <c r="B4" s="122"/>
      <c r="C4" s="122"/>
      <c r="D4" s="122"/>
      <c r="E4" s="122"/>
      <c r="F4" s="122"/>
      <c r="G4" s="1"/>
    </row>
    <row r="5" spans="1:7" ht="15" customHeight="1" x14ac:dyDescent="0.25">
      <c r="A5" s="1"/>
      <c r="B5" s="74"/>
      <c r="C5" s="74"/>
      <c r="D5" s="74"/>
      <c r="E5" s="74"/>
      <c r="F5" s="74"/>
      <c r="G5" s="1"/>
    </row>
    <row r="6" spans="1:7" ht="15" customHeight="1" x14ac:dyDescent="0.25">
      <c r="A6" s="1"/>
      <c r="B6" s="74"/>
      <c r="C6" s="74"/>
      <c r="D6" s="74"/>
      <c r="E6" s="74"/>
      <c r="F6" s="74"/>
      <c r="G6" s="1"/>
    </row>
    <row r="7" spans="1:7" ht="13.5" customHeight="1" x14ac:dyDescent="0.25">
      <c r="A7" s="1"/>
      <c r="B7" s="1"/>
      <c r="C7" s="1"/>
      <c r="D7" s="1"/>
      <c r="E7" s="1"/>
      <c r="F7" s="1"/>
      <c r="G7" s="1"/>
    </row>
    <row r="8" spans="1:7" x14ac:dyDescent="0.25">
      <c r="A8" s="1"/>
      <c r="B8" s="132" t="s">
        <v>159</v>
      </c>
      <c r="C8" s="133"/>
      <c r="D8" s="133"/>
      <c r="E8" s="133"/>
      <c r="F8" s="134"/>
      <c r="G8" s="1"/>
    </row>
    <row r="9" spans="1:7" x14ac:dyDescent="0.25">
      <c r="A9" s="1"/>
      <c r="B9" s="145" t="s">
        <v>160</v>
      </c>
      <c r="C9" s="146"/>
      <c r="D9" s="147"/>
      <c r="E9" s="9">
        <v>5032898</v>
      </c>
      <c r="F9" s="14" t="s">
        <v>3</v>
      </c>
      <c r="G9" s="1"/>
    </row>
    <row r="10" spans="1:7" x14ac:dyDescent="0.25">
      <c r="A10" s="1"/>
      <c r="B10" s="145" t="s">
        <v>161</v>
      </c>
      <c r="C10" s="146"/>
      <c r="D10" s="147"/>
      <c r="E10" s="9">
        <v>-5315755</v>
      </c>
      <c r="F10" s="14" t="s">
        <v>3</v>
      </c>
      <c r="G10" s="1"/>
    </row>
    <row r="11" spans="1:7" x14ac:dyDescent="0.25">
      <c r="A11" s="1"/>
      <c r="B11" s="145" t="s">
        <v>172</v>
      </c>
      <c r="C11" s="146"/>
      <c r="D11" s="147"/>
      <c r="E11" s="9">
        <v>-36601006</v>
      </c>
      <c r="F11" s="14" t="s">
        <v>3</v>
      </c>
      <c r="G11" s="1"/>
    </row>
    <row r="12" spans="1:7" x14ac:dyDescent="0.25">
      <c r="A12" s="1"/>
      <c r="B12" s="145" t="s">
        <v>287</v>
      </c>
      <c r="C12" s="146"/>
      <c r="D12" s="147"/>
      <c r="E12" s="9">
        <v>9387051</v>
      </c>
      <c r="F12" s="14" t="s">
        <v>3</v>
      </c>
      <c r="G12" s="1"/>
    </row>
    <row r="13" spans="1:7" x14ac:dyDescent="0.25">
      <c r="A13" s="1"/>
      <c r="B13" s="30"/>
      <c r="C13" s="31"/>
      <c r="D13" s="31"/>
      <c r="E13" s="31"/>
      <c r="F13" s="19"/>
      <c r="G13" s="1"/>
    </row>
    <row r="14" spans="1:7" ht="42.75" customHeight="1" x14ac:dyDescent="0.25">
      <c r="A14" s="1"/>
      <c r="B14" s="151" t="s">
        <v>288</v>
      </c>
      <c r="C14" s="152"/>
      <c r="D14" s="152"/>
      <c r="E14" s="152"/>
      <c r="F14" s="153"/>
      <c r="G14" s="1"/>
    </row>
    <row r="15" spans="1:7" x14ac:dyDescent="0.25">
      <c r="A15" s="1"/>
      <c r="B15" s="1"/>
      <c r="C15" s="1"/>
      <c r="D15" s="1"/>
      <c r="E15" s="1"/>
      <c r="F15" s="1"/>
      <c r="G15" s="1"/>
    </row>
    <row r="16" spans="1:7" x14ac:dyDescent="0.25">
      <c r="A16" s="1"/>
      <c r="B16" s="81" t="s">
        <v>289</v>
      </c>
      <c r="C16" s="82"/>
      <c r="D16" s="82"/>
      <c r="E16" s="82"/>
      <c r="F16" s="83"/>
      <c r="G16" s="1"/>
    </row>
    <row r="17" spans="1:7" x14ac:dyDescent="0.25">
      <c r="A17" s="1"/>
      <c r="B17" s="84" t="s">
        <v>290</v>
      </c>
      <c r="C17" s="85"/>
      <c r="D17" s="86"/>
      <c r="E17" s="9">
        <f>IF(E12&lt;0,E12,0)</f>
        <v>0</v>
      </c>
      <c r="F17" s="14" t="s">
        <v>3</v>
      </c>
      <c r="G17" s="1"/>
    </row>
    <row r="18" spans="1:7" x14ac:dyDescent="0.25">
      <c r="A18" s="1"/>
      <c r="B18" s="84" t="s">
        <v>291</v>
      </c>
      <c r="C18" s="85"/>
      <c r="D18" s="86"/>
      <c r="E18" s="9">
        <f>IF(SUM(E9:E11)&gt;0,SUM(E9:E11),0)</f>
        <v>0</v>
      </c>
      <c r="F18" s="14" t="s">
        <v>3</v>
      </c>
      <c r="G18" s="1"/>
    </row>
    <row r="19" spans="1:7" x14ac:dyDescent="0.25">
      <c r="A19" s="1"/>
      <c r="B19" s="87" t="s">
        <v>292</v>
      </c>
      <c r="C19" s="88"/>
      <c r="D19" s="89"/>
      <c r="E19" s="73">
        <f>IF(SUM(E17:E18)&gt;0,0,SUM(E17:E18))</f>
        <v>0</v>
      </c>
      <c r="F19" s="17" t="s">
        <v>3</v>
      </c>
      <c r="G19" s="1"/>
    </row>
    <row r="20" spans="1:7" x14ac:dyDescent="0.25">
      <c r="A20" s="1"/>
      <c r="B20" s="30"/>
      <c r="C20" s="31"/>
      <c r="D20" s="31"/>
      <c r="E20" s="31"/>
      <c r="F20" s="19"/>
      <c r="G20" s="1"/>
    </row>
    <row r="21" spans="1:7" x14ac:dyDescent="0.25">
      <c r="A21" s="1"/>
      <c r="B21" s="1"/>
      <c r="C21" s="1"/>
      <c r="D21" s="1"/>
      <c r="E21" s="1"/>
      <c r="F21" s="1"/>
      <c r="G21" s="1"/>
    </row>
    <row r="22" spans="1:7" x14ac:dyDescent="0.25">
      <c r="A22" s="1"/>
      <c r="B22" s="81" t="s">
        <v>293</v>
      </c>
      <c r="C22" s="82"/>
      <c r="D22" s="82"/>
      <c r="E22" s="82"/>
      <c r="F22" s="83"/>
      <c r="G22" s="1"/>
    </row>
    <row r="23" spans="1:7" x14ac:dyDescent="0.25">
      <c r="A23" s="1"/>
      <c r="B23" s="84" t="s">
        <v>294</v>
      </c>
      <c r="C23" s="85"/>
      <c r="D23" s="86"/>
      <c r="E23" s="9">
        <v>184647500.51633623</v>
      </c>
      <c r="F23" s="14" t="s">
        <v>3</v>
      </c>
      <c r="G23" s="1"/>
    </row>
    <row r="24" spans="1:7" x14ac:dyDescent="0.25">
      <c r="A24" s="1"/>
      <c r="B24" s="84" t="s">
        <v>295</v>
      </c>
      <c r="C24" s="85"/>
      <c r="D24" s="86"/>
      <c r="E24" s="9">
        <v>188295501</v>
      </c>
      <c r="F24" s="14" t="s">
        <v>3</v>
      </c>
      <c r="G24" s="1"/>
    </row>
    <row r="25" spans="1:7" x14ac:dyDescent="0.25">
      <c r="A25" s="1"/>
      <c r="B25" s="84" t="s">
        <v>31</v>
      </c>
      <c r="C25" s="85"/>
      <c r="D25" s="86"/>
      <c r="E25" s="9">
        <v>-209000</v>
      </c>
      <c r="F25" s="14" t="s">
        <v>3</v>
      </c>
      <c r="G25" s="1"/>
    </row>
    <row r="26" spans="1:7" x14ac:dyDescent="0.25">
      <c r="A26" s="1"/>
      <c r="B26" s="87" t="s">
        <v>296</v>
      </c>
      <c r="C26" s="88"/>
      <c r="D26" s="89"/>
      <c r="E26" s="73">
        <f>E23-E24-E25</f>
        <v>-3439000.4836637676</v>
      </c>
      <c r="F26" s="17" t="s">
        <v>3</v>
      </c>
      <c r="G26" s="1"/>
    </row>
    <row r="27" spans="1:7" x14ac:dyDescent="0.25">
      <c r="A27" s="1"/>
      <c r="B27" s="30"/>
      <c r="C27" s="31"/>
      <c r="D27" s="31"/>
      <c r="E27" s="31"/>
      <c r="F27" s="19"/>
      <c r="G27" s="1"/>
    </row>
    <row r="28" spans="1:7" x14ac:dyDescent="0.25">
      <c r="A28" s="1"/>
      <c r="B28" s="1"/>
      <c r="C28" s="1"/>
      <c r="D28" s="1"/>
      <c r="E28" s="1"/>
      <c r="F28" s="1"/>
      <c r="G28" s="1"/>
    </row>
    <row r="29" spans="1:7" x14ac:dyDescent="0.25">
      <c r="A29" s="1"/>
      <c r="B29" s="132" t="s">
        <v>297</v>
      </c>
      <c r="C29" s="133"/>
      <c r="D29" s="133"/>
      <c r="E29" s="133"/>
      <c r="F29" s="134"/>
      <c r="G29" s="1"/>
    </row>
    <row r="30" spans="1:7" x14ac:dyDescent="0.25">
      <c r="A30" s="1"/>
      <c r="B30" s="154" t="s">
        <v>119</v>
      </c>
      <c r="C30" s="155"/>
      <c r="D30" s="156"/>
      <c r="E30" s="9">
        <f>IF(E19&lt;0,IF(E26&lt;0,SUM(E19,E26),IF(E11&gt;0,SUM(E11:E12),E19)),IF(AND(E26&lt;0,SUM(E26,E12)&lt;0),IF(SUM(E9:E12)&lt;0,E26,E26),IF(AND(E26&lt;0,SUM(E9:E12)&lt;0),E26,0)))</f>
        <v>-3439000.4836637676</v>
      </c>
      <c r="F30" s="14" t="s">
        <v>3</v>
      </c>
      <c r="G30" s="1"/>
    </row>
    <row r="31" spans="1:7" x14ac:dyDescent="0.25">
      <c r="A31" s="1"/>
      <c r="B31" s="154" t="s">
        <v>81</v>
      </c>
      <c r="C31" s="155"/>
      <c r="D31" s="156"/>
      <c r="E31" s="9">
        <v>2</v>
      </c>
      <c r="F31" s="14" t="s">
        <v>20</v>
      </c>
      <c r="G31" s="1"/>
    </row>
    <row r="32" spans="1:7" x14ac:dyDescent="0.25">
      <c r="A32" s="1"/>
      <c r="B32" s="157" t="s">
        <v>121</v>
      </c>
      <c r="C32" s="158"/>
      <c r="D32" s="159"/>
      <c r="E32" s="10">
        <f>E30/E31</f>
        <v>-1719500.2418318838</v>
      </c>
      <c r="F32" s="17" t="s">
        <v>3</v>
      </c>
      <c r="G32" s="1"/>
    </row>
    <row r="33" spans="1:7" x14ac:dyDescent="0.25">
      <c r="A33" s="1"/>
      <c r="B33" s="148"/>
      <c r="C33" s="149"/>
      <c r="D33" s="149"/>
      <c r="E33" s="149"/>
      <c r="F33" s="150"/>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9"/>
      <c r="B48" s="39"/>
      <c r="C48" s="39"/>
      <c r="D48" s="39"/>
      <c r="E48" s="39"/>
      <c r="F48" s="39"/>
      <c r="G48" s="39"/>
    </row>
    <row r="49" spans="1:7" x14ac:dyDescent="0.25">
      <c r="A49" s="39"/>
      <c r="B49" s="39"/>
      <c r="C49" s="39"/>
      <c r="D49" s="39"/>
      <c r="E49" s="39"/>
      <c r="F49" s="39"/>
      <c r="G49" s="39"/>
    </row>
    <row r="50" spans="1:7" x14ac:dyDescent="0.25">
      <c r="A50" s="39"/>
      <c r="B50" s="39"/>
      <c r="C50" s="39"/>
      <c r="D50" s="39"/>
      <c r="E50" s="39"/>
      <c r="F50" s="39"/>
      <c r="G50" s="39"/>
    </row>
    <row r="51" spans="1:7" x14ac:dyDescent="0.25">
      <c r="A51" s="39"/>
      <c r="B51" s="39"/>
      <c r="C51" s="39"/>
      <c r="D51" s="39"/>
      <c r="E51" s="39"/>
      <c r="F51" s="39"/>
      <c r="G51" s="39"/>
    </row>
    <row r="52" spans="1:7" x14ac:dyDescent="0.25">
      <c r="A52" s="39"/>
      <c r="B52" s="39"/>
      <c r="C52" s="39"/>
      <c r="D52" s="39"/>
      <c r="E52" s="39"/>
      <c r="F52" s="39"/>
      <c r="G52" s="39"/>
    </row>
    <row r="53" spans="1:7" x14ac:dyDescent="0.25">
      <c r="A53" s="39"/>
      <c r="B53" s="39"/>
      <c r="C53" s="39"/>
      <c r="D53" s="39"/>
      <c r="E53" s="39"/>
      <c r="F53" s="39"/>
      <c r="G53" s="39"/>
    </row>
    <row r="54" spans="1:7" x14ac:dyDescent="0.25">
      <c r="A54" s="39"/>
      <c r="G54" s="39"/>
    </row>
  </sheetData>
  <sheetProtection algorithmName="SHA-512" hashValue="BauZMGPTH/rZb+DDGqb0Tqsm8tTjc004CvXNeo6+Az5DFtLP3cAsqV2GnbZbe5E9X4s1I+shIURrPv1t/n0hQA==" saltValue="Vk4Ca36CTegshsks9sVA0w==" spinCount="100000" sheet="1" objects="1" scenarios="1"/>
  <mergeCells count="12">
    <mergeCell ref="B33:F33"/>
    <mergeCell ref="B3:F4"/>
    <mergeCell ref="B8:F8"/>
    <mergeCell ref="B9:D9"/>
    <mergeCell ref="B10:D10"/>
    <mergeCell ref="B11:D11"/>
    <mergeCell ref="B12:D12"/>
    <mergeCell ref="B14:F14"/>
    <mergeCell ref="B29:F29"/>
    <mergeCell ref="B30:D30"/>
    <mergeCell ref="B31:D31"/>
    <mergeCell ref="B32:D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50" customWidth="1"/>
    <col min="2" max="2" width="22.5703125" style="50" customWidth="1"/>
    <col min="3" max="3" width="8.28515625" style="50" customWidth="1"/>
    <col min="4" max="6" width="10.7109375" style="50" customWidth="1"/>
    <col min="7" max="7" width="11.140625" style="50" customWidth="1"/>
    <col min="8" max="8" width="3.28515625" style="50" customWidth="1"/>
    <col min="9" max="9" width="4.85546875" style="50" customWidth="1"/>
    <col min="10" max="16384" width="9.140625" style="5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6" t="s">
        <v>193</v>
      </c>
      <c r="C3" s="116"/>
      <c r="D3" s="116"/>
      <c r="E3" s="116"/>
      <c r="F3" s="116"/>
      <c r="G3" s="116"/>
      <c r="H3" s="116"/>
      <c r="I3" s="1"/>
    </row>
    <row r="4" spans="1:9" ht="15" customHeight="1" x14ac:dyDescent="0.25">
      <c r="A4" s="1"/>
      <c r="B4" s="116"/>
      <c r="C4" s="116"/>
      <c r="D4" s="116"/>
      <c r="E4" s="116"/>
      <c r="F4" s="116"/>
      <c r="G4" s="116"/>
      <c r="H4" s="116"/>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2" t="s">
        <v>194</v>
      </c>
      <c r="C8" s="133"/>
      <c r="D8" s="133"/>
      <c r="E8" s="133"/>
      <c r="F8" s="133"/>
      <c r="G8" s="133"/>
      <c r="H8" s="134"/>
      <c r="I8" s="1"/>
    </row>
    <row r="9" spans="1:9" ht="15" customHeight="1" x14ac:dyDescent="0.25">
      <c r="A9" s="1"/>
      <c r="B9" s="160" t="s">
        <v>195</v>
      </c>
      <c r="C9" s="161"/>
      <c r="D9" s="161"/>
      <c r="E9" s="161"/>
      <c r="F9" s="161"/>
      <c r="G9" s="161"/>
      <c r="H9" s="162"/>
      <c r="I9" s="1"/>
    </row>
    <row r="10" spans="1:9" x14ac:dyDescent="0.25">
      <c r="A10" s="1"/>
      <c r="B10" s="163" t="s">
        <v>196</v>
      </c>
      <c r="C10" s="164"/>
      <c r="D10" s="164"/>
      <c r="E10" s="164"/>
      <c r="F10" s="165"/>
      <c r="G10" s="40">
        <v>0</v>
      </c>
      <c r="H10" s="9" t="s">
        <v>3</v>
      </c>
      <c r="I10" s="1"/>
    </row>
    <row r="11" spans="1:9" x14ac:dyDescent="0.25">
      <c r="A11" s="1"/>
      <c r="B11" s="163" t="s">
        <v>197</v>
      </c>
      <c r="C11" s="164"/>
      <c r="D11" s="164"/>
      <c r="E11" s="164"/>
      <c r="F11" s="165"/>
      <c r="G11" s="40">
        <v>0</v>
      </c>
      <c r="H11" s="9" t="s">
        <v>3</v>
      </c>
      <c r="I11" s="1"/>
    </row>
    <row r="12" spans="1:9" x14ac:dyDescent="0.25">
      <c r="A12" s="1"/>
      <c r="B12" s="163" t="s">
        <v>198</v>
      </c>
      <c r="C12" s="164"/>
      <c r="D12" s="164"/>
      <c r="E12" s="164"/>
      <c r="F12" s="165"/>
      <c r="G12" s="9">
        <v>0</v>
      </c>
      <c r="H12" s="9" t="s">
        <v>3</v>
      </c>
      <c r="I12" s="1"/>
    </row>
    <row r="13" spans="1:9" x14ac:dyDescent="0.25">
      <c r="A13" s="1"/>
      <c r="B13" s="163" t="s">
        <v>199</v>
      </c>
      <c r="C13" s="164"/>
      <c r="D13" s="164"/>
      <c r="E13" s="164"/>
      <c r="F13" s="165"/>
      <c r="G13" s="9">
        <v>0</v>
      </c>
      <c r="H13" s="9" t="s">
        <v>3</v>
      </c>
      <c r="I13" s="1"/>
    </row>
    <row r="14" spans="1:9" x14ac:dyDescent="0.25">
      <c r="A14" s="1"/>
      <c r="B14" s="163" t="s">
        <v>200</v>
      </c>
      <c r="C14" s="164"/>
      <c r="D14" s="164"/>
      <c r="E14" s="164"/>
      <c r="F14" s="165"/>
      <c r="G14" s="9">
        <v>0</v>
      </c>
      <c r="H14" s="9" t="s">
        <v>3</v>
      </c>
      <c r="I14" s="1"/>
    </row>
    <row r="15" spans="1:9" x14ac:dyDescent="0.25">
      <c r="A15" s="1"/>
      <c r="B15" s="163" t="s">
        <v>201</v>
      </c>
      <c r="C15" s="164"/>
      <c r="D15" s="164"/>
      <c r="E15" s="164"/>
      <c r="F15" s="165"/>
      <c r="G15" s="9">
        <v>0</v>
      </c>
      <c r="H15" s="9" t="s">
        <v>3</v>
      </c>
      <c r="I15" s="1"/>
    </row>
    <row r="16" spans="1:9" x14ac:dyDescent="0.25">
      <c r="A16" s="1"/>
      <c r="B16" s="163" t="s">
        <v>202</v>
      </c>
      <c r="C16" s="164"/>
      <c r="D16" s="164"/>
      <c r="E16" s="164"/>
      <c r="F16" s="165"/>
      <c r="G16" s="9">
        <v>0</v>
      </c>
      <c r="H16" s="9" t="s">
        <v>3</v>
      </c>
      <c r="I16" s="1"/>
    </row>
    <row r="17" spans="1:9" x14ac:dyDescent="0.25">
      <c r="A17" s="1"/>
      <c r="B17" s="163" t="s">
        <v>203</v>
      </c>
      <c r="C17" s="164"/>
      <c r="D17" s="164"/>
      <c r="E17" s="164"/>
      <c r="F17" s="165"/>
      <c r="G17" s="9">
        <v>0</v>
      </c>
      <c r="H17" s="9" t="s">
        <v>3</v>
      </c>
      <c r="I17" s="1"/>
    </row>
    <row r="18" spans="1:9" x14ac:dyDescent="0.25">
      <c r="A18" s="1"/>
      <c r="B18" s="132" t="s">
        <v>204</v>
      </c>
      <c r="C18" s="133"/>
      <c r="D18" s="133"/>
      <c r="E18" s="133"/>
      <c r="F18" s="134"/>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vYCSMLGIsKic9hdcFetGhOAIULBVmN5YDHAtPiFm60YajWX97aBIoOo11IEAD2e5WLmTSPKGVhdOOFSXnezfcw==" saltValue="rfGGx/MeRk/lvA0sokyNCQ=="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91" zoomScaleNormal="100" zoomScalePageLayoutView="91" workbookViewId="0"/>
  </sheetViews>
  <sheetFormatPr defaultColWidth="9" defaultRowHeight="15" x14ac:dyDescent="0.25"/>
  <cols>
    <col min="1" max="1" width="4.7109375" style="2" customWidth="1"/>
    <col min="2" max="3" width="9" style="2"/>
    <col min="4" max="4" width="44.28515625" style="2" customWidth="1"/>
    <col min="5" max="5" width="10.7109375" style="2" customWidth="1"/>
    <col min="6" max="6" width="3.28515625" style="2" customWidth="1"/>
    <col min="7" max="7" width="4.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284</v>
      </c>
      <c r="C3" s="122"/>
      <c r="D3" s="122"/>
      <c r="E3" s="122"/>
      <c r="F3" s="122"/>
      <c r="G3" s="1"/>
    </row>
    <row r="4" spans="1:7" ht="1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66" t="s">
        <v>280</v>
      </c>
      <c r="C9" s="166"/>
      <c r="D9" s="166"/>
      <c r="E9" s="166"/>
      <c r="F9" s="166"/>
      <c r="G9" s="1"/>
    </row>
    <row r="10" spans="1:7" x14ac:dyDescent="0.25">
      <c r="A10" s="1"/>
      <c r="B10" s="151" t="s">
        <v>79</v>
      </c>
      <c r="C10" s="152"/>
      <c r="D10" s="153"/>
      <c r="E10" s="7">
        <v>0</v>
      </c>
      <c r="F10" s="8" t="s">
        <v>3</v>
      </c>
      <c r="G10" s="1"/>
    </row>
    <row r="11" spans="1:7" x14ac:dyDescent="0.25">
      <c r="A11" s="1"/>
      <c r="B11" s="145" t="s">
        <v>281</v>
      </c>
      <c r="C11" s="146"/>
      <c r="D11" s="147"/>
      <c r="E11" s="7">
        <v>0</v>
      </c>
      <c r="F11" s="8" t="s">
        <v>3</v>
      </c>
      <c r="G11" s="1"/>
    </row>
    <row r="12" spans="1:7" x14ac:dyDescent="0.25">
      <c r="A12" s="1"/>
      <c r="B12" s="157" t="s">
        <v>80</v>
      </c>
      <c r="C12" s="158"/>
      <c r="D12" s="159"/>
      <c r="E12" s="10">
        <f>E11-E10</f>
        <v>0</v>
      </c>
      <c r="F12" s="11" t="s">
        <v>3</v>
      </c>
      <c r="G12" s="1"/>
    </row>
    <row r="13" spans="1:7" x14ac:dyDescent="0.25">
      <c r="A13" s="1"/>
      <c r="B13" s="166" t="s">
        <v>74</v>
      </c>
      <c r="C13" s="166"/>
      <c r="D13" s="166"/>
      <c r="E13" s="166"/>
      <c r="F13" s="166"/>
      <c r="G13" s="1"/>
    </row>
    <row r="14" spans="1:7" x14ac:dyDescent="0.25">
      <c r="A14" s="1"/>
      <c r="B14" s="145" t="s">
        <v>282</v>
      </c>
      <c r="C14" s="146"/>
      <c r="D14" s="147"/>
      <c r="E14" s="7">
        <v>2388553</v>
      </c>
      <c r="F14" s="8" t="s">
        <v>3</v>
      </c>
      <c r="G14" s="1"/>
    </row>
    <row r="15" spans="1:7" x14ac:dyDescent="0.25">
      <c r="A15" s="1"/>
      <c r="B15" s="151" t="s">
        <v>283</v>
      </c>
      <c r="C15" s="152"/>
      <c r="D15" s="153"/>
      <c r="E15" s="7">
        <v>2197770</v>
      </c>
      <c r="F15" s="8" t="s">
        <v>3</v>
      </c>
      <c r="G15" s="1"/>
    </row>
    <row r="16" spans="1:7" x14ac:dyDescent="0.25">
      <c r="A16" s="1"/>
      <c r="B16" s="157" t="s">
        <v>80</v>
      </c>
      <c r="C16" s="158"/>
      <c r="D16" s="159"/>
      <c r="E16" s="10">
        <f>E15-E14</f>
        <v>-190783</v>
      </c>
      <c r="F16" s="11" t="s">
        <v>3</v>
      </c>
      <c r="G16" s="1"/>
    </row>
    <row r="17" spans="1:7" ht="15" customHeight="1" x14ac:dyDescent="0.25">
      <c r="A17" s="1"/>
      <c r="B17" s="30" t="s">
        <v>285</v>
      </c>
      <c r="C17" s="31"/>
      <c r="D17" s="31"/>
      <c r="E17" s="12">
        <f>E12+E16</f>
        <v>-190783</v>
      </c>
      <c r="F17" s="13" t="s">
        <v>3</v>
      </c>
      <c r="G17" s="1"/>
    </row>
    <row r="18" spans="1:7" ht="15" customHeight="1"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iqkDBVvOqOeilOwbrQIKJsDQ/LFUvNCyWP/rlB3QrlskhuPfHYOafBcCNpyOFyG9YqSUk7spPAvPTBM5r8kmhA==" saltValue="ubbgN9YMJstW89zzQgaQB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 defaultRowHeight="15" x14ac:dyDescent="0.25"/>
  <cols>
    <col min="1" max="1" width="4.7109375" style="2" customWidth="1"/>
    <col min="2" max="2" width="22.5703125" style="2" customWidth="1"/>
    <col min="3" max="3" width="8.28515625" style="2" customWidth="1"/>
    <col min="4" max="4" width="8.5703125" style="2" customWidth="1"/>
    <col min="5" max="5" width="3" style="2" customWidth="1"/>
    <col min="6" max="6" width="8.5703125" style="2" customWidth="1"/>
    <col min="7" max="7" width="3" style="2" customWidth="1"/>
    <col min="8" max="8" width="8.5703125" style="2" customWidth="1"/>
    <col min="9" max="9" width="3" style="2" customWidth="1"/>
    <col min="10" max="10" width="8.5703125" style="2" customWidth="1"/>
    <col min="11" max="11" width="3" style="2" customWidth="1"/>
    <col min="12" max="12" width="4.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6" t="s">
        <v>205</v>
      </c>
      <c r="C3" s="116"/>
      <c r="D3" s="116"/>
      <c r="E3" s="116"/>
      <c r="F3" s="116"/>
      <c r="G3" s="116"/>
      <c r="H3" s="116"/>
      <c r="I3" s="116"/>
      <c r="J3" s="116"/>
      <c r="K3" s="116"/>
      <c r="L3" s="1"/>
    </row>
    <row r="4" spans="1:12" ht="15" customHeight="1" x14ac:dyDescent="0.25">
      <c r="A4" s="1"/>
      <c r="B4" s="116"/>
      <c r="C4" s="116"/>
      <c r="D4" s="116"/>
      <c r="E4" s="116"/>
      <c r="F4" s="116"/>
      <c r="G4" s="116"/>
      <c r="H4" s="116"/>
      <c r="I4" s="116"/>
      <c r="J4" s="116"/>
      <c r="K4" s="11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2" t="s">
        <v>179</v>
      </c>
      <c r="C8" s="133"/>
      <c r="D8" s="133"/>
      <c r="E8" s="133"/>
      <c r="F8" s="133"/>
      <c r="G8" s="133"/>
      <c r="H8" s="133"/>
      <c r="I8" s="133"/>
      <c r="J8" s="133"/>
      <c r="K8" s="134"/>
      <c r="L8" s="1"/>
    </row>
    <row r="9" spans="1:12" ht="39.75" customHeight="1" x14ac:dyDescent="0.25">
      <c r="A9" s="1"/>
      <c r="B9" s="18" t="s">
        <v>0</v>
      </c>
      <c r="C9" s="18" t="s">
        <v>1</v>
      </c>
      <c r="D9" s="167" t="s">
        <v>189</v>
      </c>
      <c r="E9" s="168"/>
      <c r="F9" s="167" t="s">
        <v>2</v>
      </c>
      <c r="G9" s="168"/>
      <c r="H9" s="167" t="s">
        <v>191</v>
      </c>
      <c r="I9" s="168"/>
      <c r="J9" s="167" t="s">
        <v>28</v>
      </c>
      <c r="K9" s="168"/>
      <c r="L9" s="1"/>
    </row>
    <row r="10" spans="1:12" x14ac:dyDescent="0.25">
      <c r="A10" s="1"/>
      <c r="B10" s="92" t="s">
        <v>270</v>
      </c>
      <c r="C10" s="34">
        <v>0</v>
      </c>
      <c r="D10" s="9">
        <v>0</v>
      </c>
      <c r="E10" s="14" t="s">
        <v>3</v>
      </c>
      <c r="F10" s="9">
        <f>IFERROR(D10/C10,0)</f>
        <v>0</v>
      </c>
      <c r="G10" s="14" t="s">
        <v>3</v>
      </c>
      <c r="H10" s="9">
        <v>0</v>
      </c>
      <c r="I10" s="14" t="s">
        <v>3</v>
      </c>
      <c r="J10" s="9">
        <v>0</v>
      </c>
      <c r="K10" s="14" t="s">
        <v>3</v>
      </c>
      <c r="L10" s="1"/>
    </row>
    <row r="11" spans="1:12" x14ac:dyDescent="0.25">
      <c r="A11" s="1"/>
      <c r="B11" s="132" t="s">
        <v>180</v>
      </c>
      <c r="C11" s="133"/>
      <c r="D11" s="133"/>
      <c r="E11" s="134"/>
      <c r="F11" s="12">
        <f>SUM(F10:F10)</f>
        <v>0</v>
      </c>
      <c r="G11" s="83" t="s">
        <v>190</v>
      </c>
      <c r="H11" s="12">
        <f>SUM(H10:H10)</f>
        <v>0</v>
      </c>
      <c r="I11" s="83" t="s">
        <v>190</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39"/>
      <c r="B44" s="39"/>
      <c r="C44" s="39"/>
      <c r="D44" s="39"/>
      <c r="E44" s="39"/>
      <c r="F44" s="39"/>
      <c r="G44" s="39"/>
      <c r="H44" s="39"/>
      <c r="I44" s="39"/>
      <c r="J44" s="39"/>
      <c r="K44" s="39"/>
      <c r="L44" s="39"/>
    </row>
    <row r="45" spans="1:12" x14ac:dyDescent="0.25">
      <c r="A45" s="39"/>
      <c r="B45" s="39"/>
      <c r="C45" s="39"/>
      <c r="D45" s="39"/>
      <c r="E45" s="39"/>
      <c r="F45" s="39"/>
      <c r="G45" s="39"/>
      <c r="H45" s="39"/>
      <c r="I45" s="39"/>
      <c r="J45" s="39"/>
      <c r="K45" s="39"/>
      <c r="L45" s="39"/>
    </row>
    <row r="46" spans="1:12" x14ac:dyDescent="0.25">
      <c r="A46" s="39"/>
      <c r="B46" s="39"/>
      <c r="C46" s="39"/>
      <c r="D46" s="39"/>
      <c r="E46" s="39"/>
      <c r="F46" s="39"/>
      <c r="G46" s="39"/>
      <c r="H46" s="39"/>
      <c r="I46" s="39"/>
      <c r="J46" s="39"/>
      <c r="K46" s="39"/>
      <c r="L46" s="39"/>
    </row>
  </sheetData>
  <sheetProtection algorithmName="SHA-512" hashValue="HC5UXsTNFHgHcLjpXBJqWb3yNmZS8qEFqgwXvgyX8QQCzhDxEn5AAACSVPc0kQlFqGkgnlVxYg+IWK67nuyfNA==" saltValue="2SrdvSbdUHUHIcId2jW6RA=="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3"/>
  <sheetViews>
    <sheetView showGridLines="0" view="pageLayout" zoomScaleNormal="100" workbookViewId="0"/>
  </sheetViews>
  <sheetFormatPr defaultColWidth="9" defaultRowHeight="15" x14ac:dyDescent="0.25"/>
  <cols>
    <col min="1" max="1" width="5" style="2" customWidth="1"/>
    <col min="2" max="2" width="3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6" t="s">
        <v>206</v>
      </c>
      <c r="C3" s="116"/>
      <c r="D3" s="116"/>
      <c r="E3" s="116"/>
      <c r="F3" s="116"/>
      <c r="G3" s="1"/>
    </row>
    <row r="4" spans="1:7" ht="15" customHeight="1" x14ac:dyDescent="0.25">
      <c r="A4" s="1"/>
      <c r="B4" s="116"/>
      <c r="C4" s="116"/>
      <c r="D4" s="116"/>
      <c r="E4" s="116"/>
      <c r="F4" s="11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0" t="s">
        <v>64</v>
      </c>
      <c r="C8" s="31"/>
      <c r="D8" s="31"/>
      <c r="E8" s="31"/>
      <c r="F8" s="19"/>
      <c r="G8" s="1"/>
    </row>
    <row r="9" spans="1:7" ht="17.25" customHeight="1" x14ac:dyDescent="0.25">
      <c r="A9" s="1"/>
      <c r="B9" s="90" t="s">
        <v>17</v>
      </c>
      <c r="C9" s="90" t="s">
        <v>11</v>
      </c>
      <c r="D9" s="91"/>
      <c r="E9" s="90" t="s">
        <v>29</v>
      </c>
      <c r="F9" s="96"/>
      <c r="G9" s="1"/>
    </row>
    <row r="10" spans="1:7" x14ac:dyDescent="0.25">
      <c r="A10" s="1"/>
      <c r="B10" s="23" t="s">
        <v>183</v>
      </c>
      <c r="C10" s="21">
        <f>'Fane 10. Anlægsprojekter (§19) '!H11</f>
        <v>0</v>
      </c>
      <c r="D10" s="14" t="s">
        <v>3</v>
      </c>
      <c r="E10" s="9">
        <f>'Fane 10. Anlægsprojekter (§19) '!F11+'Fane 10. Anlægsprojekter (§19) '!J11</f>
        <v>0</v>
      </c>
      <c r="F10" s="14" t="s">
        <v>3</v>
      </c>
      <c r="G10" s="1"/>
    </row>
    <row r="11" spans="1:7" x14ac:dyDescent="0.25">
      <c r="A11" s="1"/>
      <c r="B11" s="35" t="s">
        <v>298</v>
      </c>
      <c r="C11" s="21">
        <v>0</v>
      </c>
      <c r="D11" s="14" t="s">
        <v>3</v>
      </c>
      <c r="E11" s="9">
        <v>343539</v>
      </c>
      <c r="F11" s="14" t="s">
        <v>3</v>
      </c>
      <c r="G11" s="1"/>
    </row>
    <row r="12" spans="1:7" x14ac:dyDescent="0.25">
      <c r="A12" s="1"/>
      <c r="B12" s="35" t="s">
        <v>299</v>
      </c>
      <c r="C12" s="21">
        <v>0</v>
      </c>
      <c r="D12" s="14" t="s">
        <v>3</v>
      </c>
      <c r="E12" s="9">
        <v>166655</v>
      </c>
      <c r="F12" s="14" t="s">
        <v>3</v>
      </c>
      <c r="G12" s="1"/>
    </row>
    <row r="13" spans="1:7" x14ac:dyDescent="0.25">
      <c r="A13" s="1"/>
      <c r="B13" s="35" t="s">
        <v>300</v>
      </c>
      <c r="C13" s="21">
        <v>0</v>
      </c>
      <c r="D13" s="14" t="s">
        <v>3</v>
      </c>
      <c r="E13" s="9">
        <v>38049</v>
      </c>
      <c r="F13" s="14" t="s">
        <v>3</v>
      </c>
      <c r="G13" s="1"/>
    </row>
    <row r="14" spans="1:7" x14ac:dyDescent="0.25">
      <c r="A14" s="1"/>
      <c r="B14" s="35" t="s">
        <v>301</v>
      </c>
      <c r="C14" s="21">
        <v>0</v>
      </c>
      <c r="D14" s="14" t="s">
        <v>3</v>
      </c>
      <c r="E14" s="9">
        <v>95841</v>
      </c>
      <c r="F14" s="14" t="s">
        <v>3</v>
      </c>
      <c r="G14" s="1"/>
    </row>
    <row r="15" spans="1:7" x14ac:dyDescent="0.25">
      <c r="A15" s="1"/>
      <c r="B15" s="35" t="s">
        <v>302</v>
      </c>
      <c r="C15" s="21">
        <v>0</v>
      </c>
      <c r="D15" s="14" t="s">
        <v>3</v>
      </c>
      <c r="E15" s="9">
        <v>36298</v>
      </c>
      <c r="F15" s="14" t="s">
        <v>3</v>
      </c>
      <c r="G15" s="1"/>
    </row>
    <row r="16" spans="1:7" x14ac:dyDescent="0.25">
      <c r="A16" s="1"/>
      <c r="B16" s="35" t="s">
        <v>303</v>
      </c>
      <c r="C16" s="21">
        <v>0</v>
      </c>
      <c r="D16" s="14" t="s">
        <v>3</v>
      </c>
      <c r="E16" s="9">
        <v>23672</v>
      </c>
      <c r="F16" s="14" t="s">
        <v>3</v>
      </c>
      <c r="G16" s="1"/>
    </row>
    <row r="17" spans="1:7" x14ac:dyDescent="0.25">
      <c r="A17" s="1"/>
      <c r="B17" s="35" t="s">
        <v>304</v>
      </c>
      <c r="C17" s="21">
        <v>0</v>
      </c>
      <c r="D17" s="14" t="s">
        <v>3</v>
      </c>
      <c r="E17" s="9">
        <v>260907</v>
      </c>
      <c r="F17" s="14" t="s">
        <v>3</v>
      </c>
      <c r="G17" s="1"/>
    </row>
    <row r="18" spans="1:7" x14ac:dyDescent="0.25">
      <c r="A18" s="1"/>
      <c r="B18" s="35" t="s">
        <v>305</v>
      </c>
      <c r="C18" s="21">
        <v>0</v>
      </c>
      <c r="D18" s="14" t="s">
        <v>3</v>
      </c>
      <c r="E18" s="9">
        <v>103238</v>
      </c>
      <c r="F18" s="14" t="s">
        <v>3</v>
      </c>
      <c r="G18" s="1"/>
    </row>
    <row r="19" spans="1:7" x14ac:dyDescent="0.25">
      <c r="A19" s="1"/>
      <c r="B19" s="35" t="s">
        <v>306</v>
      </c>
      <c r="C19" s="21">
        <v>148654</v>
      </c>
      <c r="D19" s="14" t="s">
        <v>3</v>
      </c>
      <c r="E19" s="9">
        <v>101744</v>
      </c>
      <c r="F19" s="14" t="s">
        <v>3</v>
      </c>
      <c r="G19" s="1"/>
    </row>
    <row r="20" spans="1:7" x14ac:dyDescent="0.25">
      <c r="A20" s="1"/>
      <c r="B20" s="35" t="s">
        <v>307</v>
      </c>
      <c r="C20" s="21">
        <v>34444</v>
      </c>
      <c r="D20" s="14" t="s">
        <v>3</v>
      </c>
      <c r="E20" s="9">
        <v>200293</v>
      </c>
      <c r="F20" s="14" t="s">
        <v>3</v>
      </c>
      <c r="G20" s="1"/>
    </row>
    <row r="21" spans="1:7" x14ac:dyDescent="0.25">
      <c r="A21" s="1"/>
      <c r="B21" s="35" t="s">
        <v>308</v>
      </c>
      <c r="C21" s="21">
        <v>105145</v>
      </c>
      <c r="D21" s="14" t="s">
        <v>3</v>
      </c>
      <c r="E21" s="9">
        <v>104921</v>
      </c>
      <c r="F21" s="14" t="s">
        <v>3</v>
      </c>
      <c r="G21" s="1"/>
    </row>
    <row r="22" spans="1:7" x14ac:dyDescent="0.25">
      <c r="A22" s="1"/>
      <c r="B22" s="35" t="s">
        <v>309</v>
      </c>
      <c r="C22" s="21">
        <v>164969</v>
      </c>
      <c r="D22" s="14" t="s">
        <v>3</v>
      </c>
      <c r="E22" s="9">
        <v>98356</v>
      </c>
      <c r="F22" s="14" t="s">
        <v>3</v>
      </c>
      <c r="G22" s="1"/>
    </row>
    <row r="23" spans="1:7" x14ac:dyDescent="0.25">
      <c r="A23" s="1"/>
      <c r="B23" s="35" t="s">
        <v>310</v>
      </c>
      <c r="C23" s="21">
        <v>25380</v>
      </c>
      <c r="D23" s="14" t="s">
        <v>3</v>
      </c>
      <c r="E23" s="9">
        <v>15726</v>
      </c>
      <c r="F23" s="14" t="s">
        <v>3</v>
      </c>
      <c r="G23" s="1"/>
    </row>
    <row r="24" spans="1:7" x14ac:dyDescent="0.25">
      <c r="A24" s="1"/>
      <c r="B24" s="35" t="s">
        <v>311</v>
      </c>
      <c r="C24" s="21">
        <v>30818</v>
      </c>
      <c r="D24" s="14" t="s">
        <v>3</v>
      </c>
      <c r="E24" s="9">
        <v>44355</v>
      </c>
      <c r="F24" s="14" t="s">
        <v>3</v>
      </c>
      <c r="G24" s="1"/>
    </row>
    <row r="25" spans="1:7" x14ac:dyDescent="0.25">
      <c r="A25" s="1"/>
      <c r="B25" s="35" t="s">
        <v>312</v>
      </c>
      <c r="C25" s="21">
        <v>424207</v>
      </c>
      <c r="D25" s="14" t="s">
        <v>3</v>
      </c>
      <c r="E25" s="9">
        <v>158974</v>
      </c>
      <c r="F25" s="14" t="s">
        <v>3</v>
      </c>
      <c r="G25" s="1"/>
    </row>
    <row r="26" spans="1:7" x14ac:dyDescent="0.25">
      <c r="A26" s="1"/>
      <c r="B26" s="35" t="s">
        <v>313</v>
      </c>
      <c r="C26" s="21">
        <v>30818</v>
      </c>
      <c r="D26" s="14" t="s">
        <v>3</v>
      </c>
      <c r="E26" s="9">
        <v>17417</v>
      </c>
      <c r="F26" s="14" t="s">
        <v>3</v>
      </c>
      <c r="G26" s="1"/>
    </row>
    <row r="27" spans="1:7" x14ac:dyDescent="0.25">
      <c r="A27" s="1"/>
      <c r="B27" s="35" t="s">
        <v>314</v>
      </c>
      <c r="C27" s="21">
        <v>9064</v>
      </c>
      <c r="D27" s="14" t="s">
        <v>3</v>
      </c>
      <c r="E27" s="9">
        <v>2873</v>
      </c>
      <c r="F27" s="14" t="s">
        <v>3</v>
      </c>
      <c r="G27" s="1"/>
    </row>
    <row r="28" spans="1:7" x14ac:dyDescent="0.25">
      <c r="A28" s="1"/>
      <c r="B28" s="35" t="s">
        <v>315</v>
      </c>
      <c r="C28" s="21">
        <v>76140</v>
      </c>
      <c r="D28" s="14" t="s">
        <v>3</v>
      </c>
      <c r="E28" s="9">
        <v>68633</v>
      </c>
      <c r="F28" s="14" t="s">
        <v>3</v>
      </c>
      <c r="G28" s="1"/>
    </row>
    <row r="29" spans="1:7" x14ac:dyDescent="0.25">
      <c r="A29" s="1"/>
      <c r="B29" s="35" t="s">
        <v>316</v>
      </c>
      <c r="C29" s="21">
        <v>59824</v>
      </c>
      <c r="D29" s="14" t="s">
        <v>3</v>
      </c>
      <c r="E29" s="9">
        <v>34395</v>
      </c>
      <c r="F29" s="14" t="s">
        <v>3</v>
      </c>
      <c r="G29" s="1"/>
    </row>
    <row r="30" spans="1:7" x14ac:dyDescent="0.25">
      <c r="A30" s="1"/>
      <c r="B30" s="35" t="s">
        <v>317</v>
      </c>
      <c r="C30" s="21">
        <v>19941</v>
      </c>
      <c r="D30" s="14" t="s">
        <v>3</v>
      </c>
      <c r="E30" s="9">
        <v>5365</v>
      </c>
      <c r="F30" s="14" t="s">
        <v>3</v>
      </c>
      <c r="G30" s="1"/>
    </row>
    <row r="31" spans="1:7" x14ac:dyDescent="0.25">
      <c r="A31" s="1"/>
      <c r="B31" s="23" t="s">
        <v>318</v>
      </c>
      <c r="C31" s="21">
        <v>16316</v>
      </c>
      <c r="D31" s="14" t="s">
        <v>3</v>
      </c>
      <c r="E31" s="9">
        <v>1297</v>
      </c>
      <c r="F31" s="14" t="s">
        <v>3</v>
      </c>
      <c r="G31" s="1"/>
    </row>
    <row r="32" spans="1:7" x14ac:dyDescent="0.25">
      <c r="A32" s="1"/>
      <c r="B32" s="23" t="s">
        <v>319</v>
      </c>
      <c r="C32" s="21">
        <v>23567</v>
      </c>
      <c r="D32" s="14" t="s">
        <v>3</v>
      </c>
      <c r="E32" s="9">
        <v>11281</v>
      </c>
      <c r="F32" s="14" t="s">
        <v>3</v>
      </c>
      <c r="G32" s="1"/>
    </row>
    <row r="33" spans="1:7" x14ac:dyDescent="0.25">
      <c r="A33" s="1"/>
      <c r="B33" s="23" t="s">
        <v>320</v>
      </c>
      <c r="C33" s="21">
        <v>18128</v>
      </c>
      <c r="D33" s="14" t="s">
        <v>3</v>
      </c>
      <c r="E33" s="9">
        <v>6509</v>
      </c>
      <c r="F33" s="14" t="s">
        <v>3</v>
      </c>
      <c r="G33" s="1"/>
    </row>
    <row r="34" spans="1:7" x14ac:dyDescent="0.25">
      <c r="A34" s="1"/>
      <c r="B34" s="23"/>
      <c r="C34" s="21"/>
      <c r="D34" s="14" t="s">
        <v>3</v>
      </c>
      <c r="E34" s="9"/>
      <c r="F34" s="14" t="s">
        <v>3</v>
      </c>
      <c r="G34" s="1"/>
    </row>
    <row r="35" spans="1:7" x14ac:dyDescent="0.25">
      <c r="A35" s="1"/>
      <c r="B35" s="30" t="s">
        <v>173</v>
      </c>
      <c r="C35" s="12">
        <f>SUM(C10:C34)</f>
        <v>1187415</v>
      </c>
      <c r="D35" s="13" t="s">
        <v>3</v>
      </c>
      <c r="E35" s="12">
        <f>SUM(E10:E34)</f>
        <v>1940338</v>
      </c>
      <c r="F35" s="13" t="s">
        <v>3</v>
      </c>
      <c r="G35" s="1"/>
    </row>
    <row r="36" spans="1:7" x14ac:dyDescent="0.25">
      <c r="A36" s="1"/>
      <c r="B36" s="30" t="s">
        <v>261</v>
      </c>
      <c r="C36" s="12">
        <f>C35*(1+'Fane 15. Nøgletal'!C16)</f>
        <v>1283358.132</v>
      </c>
      <c r="D36" s="13" t="s">
        <v>3</v>
      </c>
      <c r="E36" s="12">
        <f>E35*(1+'Fane 15. Nøgletal'!C16)</f>
        <v>2097117.3104000001</v>
      </c>
      <c r="F36" s="13" t="s">
        <v>3</v>
      </c>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9"/>
      <c r="B51" s="39"/>
      <c r="C51" s="39"/>
      <c r="D51" s="39"/>
      <c r="E51" s="39"/>
      <c r="F51" s="39"/>
      <c r="G51" s="39"/>
    </row>
    <row r="52" spans="1:7" x14ac:dyDescent="0.25">
      <c r="A52" s="39"/>
      <c r="B52" s="39"/>
      <c r="C52" s="39"/>
      <c r="D52" s="39"/>
      <c r="E52" s="39"/>
      <c r="F52" s="39"/>
      <c r="G52" s="39"/>
    </row>
    <row r="53" spans="1:7" x14ac:dyDescent="0.25">
      <c r="A53" s="39"/>
      <c r="B53" s="39"/>
      <c r="C53" s="39"/>
      <c r="D53" s="39"/>
      <c r="E53" s="39"/>
      <c r="F53" s="39"/>
      <c r="G53" s="39"/>
    </row>
  </sheetData>
  <sheetProtection algorithmName="SHA-512" hashValue="b8s75vuXE8BUb3krzLBXqtbeMEQHf6EnrNuo4KWBT2e6ezlVN+v3Dr278QMkFmIJp68RWF2f1NGmk0+maeWwqg==" saltValue="+aqa0n7LuaoKf4rMkQgWQ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38"/>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6" t="s">
        <v>207</v>
      </c>
      <c r="C3" s="116"/>
      <c r="D3" s="116"/>
      <c r="E3" s="116"/>
      <c r="F3" s="116"/>
      <c r="G3" s="1"/>
    </row>
    <row r="4" spans="1:7" ht="15" customHeight="1" x14ac:dyDescent="0.25">
      <c r="A4" s="1"/>
      <c r="B4" s="116"/>
      <c r="C4" s="116"/>
      <c r="D4" s="116"/>
      <c r="E4" s="116"/>
      <c r="F4" s="116"/>
      <c r="G4" s="1"/>
    </row>
    <row r="5" spans="1:7" x14ac:dyDescent="0.25">
      <c r="A5" s="1"/>
      <c r="B5" s="1"/>
      <c r="C5" s="1"/>
      <c r="D5" s="1"/>
      <c r="E5" s="1"/>
      <c r="F5" s="1"/>
      <c r="G5" s="1"/>
    </row>
    <row r="6" spans="1:7" x14ac:dyDescent="0.25">
      <c r="A6" s="1"/>
      <c r="B6" s="1"/>
      <c r="C6" s="1"/>
      <c r="D6" s="1"/>
      <c r="E6" s="1"/>
      <c r="F6" s="1"/>
      <c r="G6" s="1"/>
    </row>
    <row r="7" spans="1:7" x14ac:dyDescent="0.25">
      <c r="A7" s="1"/>
      <c r="B7" s="81" t="s">
        <v>77</v>
      </c>
      <c r="C7" s="82"/>
      <c r="D7" s="82"/>
      <c r="E7" s="82"/>
      <c r="F7" s="83"/>
      <c r="G7" s="1"/>
    </row>
    <row r="8" spans="1:7" x14ac:dyDescent="0.25">
      <c r="A8" s="1"/>
      <c r="B8" s="90" t="s">
        <v>17</v>
      </c>
      <c r="C8" s="90" t="s">
        <v>11</v>
      </c>
      <c r="D8" s="91"/>
      <c r="E8" s="90" t="s">
        <v>29</v>
      </c>
      <c r="F8" s="96"/>
      <c r="G8" s="1"/>
    </row>
    <row r="9" spans="1:7" x14ac:dyDescent="0.25">
      <c r="A9" s="1"/>
      <c r="B9" s="23" t="s">
        <v>321</v>
      </c>
      <c r="C9" s="21"/>
      <c r="D9" s="14" t="s">
        <v>3</v>
      </c>
      <c r="E9" s="21"/>
      <c r="F9" s="14" t="s">
        <v>3</v>
      </c>
      <c r="G9" s="1"/>
    </row>
    <row r="10" spans="1:7" x14ac:dyDescent="0.25">
      <c r="A10" s="1"/>
      <c r="B10" s="23"/>
      <c r="C10" s="21"/>
      <c r="D10" s="14" t="s">
        <v>3</v>
      </c>
      <c r="E10" s="21"/>
      <c r="F10" s="14" t="s">
        <v>3</v>
      </c>
      <c r="G10" s="1"/>
    </row>
    <row r="11" spans="1:7" x14ac:dyDescent="0.25">
      <c r="A11" s="1"/>
      <c r="B11" s="30" t="s">
        <v>262</v>
      </c>
      <c r="C11" s="12">
        <f>SUM(C9:C10)</f>
        <v>0</v>
      </c>
      <c r="D11" s="13" t="s">
        <v>3</v>
      </c>
      <c r="E11" s="12">
        <f>SUM(E9:E10)</f>
        <v>0</v>
      </c>
      <c r="F11" s="13" t="s">
        <v>3</v>
      </c>
      <c r="G11" s="1"/>
    </row>
    <row r="12" spans="1:7" x14ac:dyDescent="0.25">
      <c r="A12" s="1"/>
      <c r="B12" s="30" t="s">
        <v>263</v>
      </c>
      <c r="C12" s="12">
        <f>C11*(1+'Fane 15. Nøgletal'!$C$16)^2</f>
        <v>0</v>
      </c>
      <c r="D12" s="13" t="s">
        <v>3</v>
      </c>
      <c r="E12" s="12">
        <f>E11*(1+'Fane 15. Nøgletal'!$C$16)^2</f>
        <v>0</v>
      </c>
      <c r="F12" s="13" t="s">
        <v>3</v>
      </c>
      <c r="G12" s="1"/>
    </row>
    <row r="13" spans="1:7" x14ac:dyDescent="0.25">
      <c r="A13" s="1"/>
      <c r="B13" s="1"/>
      <c r="C13" s="1"/>
      <c r="D13" s="1"/>
      <c r="E13" s="1"/>
      <c r="F13" s="1"/>
      <c r="G13" s="1"/>
    </row>
    <row r="14" spans="1:7" x14ac:dyDescent="0.25">
      <c r="A14" s="1"/>
      <c r="B14" s="93"/>
      <c r="C14" s="93"/>
      <c r="D14" s="93"/>
      <c r="E14" s="93"/>
      <c r="F14" s="93"/>
      <c r="G14" s="1"/>
    </row>
    <row r="15" spans="1:7" x14ac:dyDescent="0.25">
      <c r="A15" s="1"/>
      <c r="B15" s="42"/>
      <c r="C15" s="42"/>
      <c r="D15" s="42"/>
      <c r="E15" s="42"/>
      <c r="F15" s="43"/>
      <c r="G15" s="1"/>
    </row>
    <row r="16" spans="1:7" x14ac:dyDescent="0.25">
      <c r="A16" s="1"/>
      <c r="B16" s="44"/>
      <c r="C16" s="45"/>
      <c r="D16" s="46"/>
      <c r="E16" s="45"/>
      <c r="F16" s="46"/>
      <c r="G16" s="1"/>
    </row>
    <row r="17" spans="1:7" x14ac:dyDescent="0.25">
      <c r="A17" s="1"/>
      <c r="B17" s="44"/>
      <c r="C17" s="45"/>
      <c r="D17" s="46"/>
      <c r="E17" s="45"/>
      <c r="F17" s="46"/>
      <c r="G17" s="1"/>
    </row>
    <row r="18" spans="1:7" x14ac:dyDescent="0.25">
      <c r="A18" s="1"/>
      <c r="B18" s="29"/>
      <c r="C18" s="47"/>
      <c r="D18" s="48"/>
      <c r="E18" s="47"/>
      <c r="F18" s="48"/>
      <c r="G18" s="1"/>
    </row>
    <row r="19" spans="1:7" x14ac:dyDescent="0.25">
      <c r="A19" s="1"/>
      <c r="B19" s="29"/>
      <c r="C19" s="47"/>
      <c r="D19" s="48"/>
      <c r="E19" s="47"/>
      <c r="F19" s="48"/>
      <c r="G19" s="1"/>
    </row>
    <row r="20" spans="1:7" x14ac:dyDescent="0.25">
      <c r="A20" s="1"/>
      <c r="B20" s="41"/>
      <c r="C20" s="41"/>
      <c r="D20" s="41"/>
      <c r="E20" s="41"/>
      <c r="F20" s="41"/>
      <c r="G20" s="1"/>
    </row>
    <row r="21" spans="1:7" x14ac:dyDescent="0.25">
      <c r="A21" s="1"/>
      <c r="B21" s="169"/>
      <c r="C21" s="169"/>
      <c r="D21" s="169"/>
      <c r="E21" s="169"/>
      <c r="F21" s="169"/>
      <c r="G21" s="1"/>
    </row>
    <row r="22" spans="1:7" x14ac:dyDescent="0.25">
      <c r="A22" s="1"/>
      <c r="B22" s="42"/>
      <c r="C22" s="42"/>
      <c r="D22" s="42"/>
      <c r="E22" s="42"/>
      <c r="F22" s="43"/>
      <c r="G22" s="1"/>
    </row>
    <row r="23" spans="1:7" x14ac:dyDescent="0.25">
      <c r="A23" s="1"/>
      <c r="B23" s="44"/>
      <c r="C23" s="45"/>
      <c r="D23" s="46"/>
      <c r="E23" s="45"/>
      <c r="F23" s="46"/>
      <c r="G23" s="1"/>
    </row>
    <row r="24" spans="1:7" x14ac:dyDescent="0.25">
      <c r="A24" s="1"/>
      <c r="B24" s="44"/>
      <c r="C24" s="45"/>
      <c r="D24" s="46"/>
      <c r="E24" s="45"/>
      <c r="F24" s="46"/>
      <c r="G24" s="1"/>
    </row>
    <row r="25" spans="1:7" x14ac:dyDescent="0.25">
      <c r="A25" s="1"/>
      <c r="B25" s="29"/>
      <c r="C25" s="47"/>
      <c r="D25" s="48"/>
      <c r="E25" s="47"/>
      <c r="F25" s="48"/>
      <c r="G25" s="1"/>
    </row>
    <row r="26" spans="1:7" x14ac:dyDescent="0.25">
      <c r="A26" s="1"/>
      <c r="B26" s="29"/>
      <c r="C26" s="47"/>
      <c r="D26" s="48"/>
      <c r="E26" s="47"/>
      <c r="F26" s="48"/>
      <c r="G26" s="1"/>
    </row>
    <row r="27" spans="1:7" x14ac:dyDescent="0.25">
      <c r="A27" s="1"/>
      <c r="B27" s="41"/>
      <c r="C27" s="41"/>
      <c r="D27" s="41"/>
      <c r="E27" s="41"/>
      <c r="F27" s="41"/>
      <c r="G27" s="1"/>
    </row>
    <row r="28" spans="1:7" x14ac:dyDescent="0.25">
      <c r="A28" s="1"/>
      <c r="B28" s="169"/>
      <c r="C28" s="169"/>
      <c r="D28" s="169"/>
      <c r="E28" s="169"/>
      <c r="F28" s="169"/>
      <c r="G28" s="1"/>
    </row>
    <row r="29" spans="1:7" x14ac:dyDescent="0.25">
      <c r="A29" s="1"/>
      <c r="B29" s="42"/>
      <c r="C29" s="42"/>
      <c r="D29" s="42"/>
      <c r="E29" s="42"/>
      <c r="F29" s="43"/>
      <c r="G29" s="1"/>
    </row>
    <row r="30" spans="1:7" x14ac:dyDescent="0.25">
      <c r="A30" s="1"/>
      <c r="B30" s="44"/>
      <c r="C30" s="45"/>
      <c r="D30" s="46"/>
      <c r="E30" s="45"/>
      <c r="F30" s="46"/>
      <c r="G30" s="1"/>
    </row>
    <row r="31" spans="1:7" x14ac:dyDescent="0.25">
      <c r="A31" s="1"/>
      <c r="B31" s="44"/>
      <c r="C31" s="45"/>
      <c r="D31" s="46"/>
      <c r="E31" s="45"/>
      <c r="F31" s="46"/>
      <c r="G31" s="1"/>
    </row>
    <row r="32" spans="1:7" x14ac:dyDescent="0.25">
      <c r="A32" s="1"/>
      <c r="B32" s="29"/>
      <c r="C32" s="47"/>
      <c r="D32" s="48"/>
      <c r="E32" s="47"/>
      <c r="F32" s="48"/>
      <c r="G32" s="1"/>
    </row>
    <row r="33" spans="1:7" x14ac:dyDescent="0.25">
      <c r="A33" s="1"/>
      <c r="B33" s="29"/>
      <c r="C33" s="47"/>
      <c r="D33" s="48"/>
      <c r="E33" s="47"/>
      <c r="F33" s="4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sheetData>
  <sheetProtection algorithmName="SHA-512" hashValue="ojUp3tQ+9Tpyn7OHr41An8KFHsOsgtdWQAOKI/OV1ih5cZDCt99lp9PVx92j1fI8Luba3r+QCGAEAQ6VBwfjTw==" saltValue="U5mExgFSrRidfSXUEzmPAw==" spinCount="100000" sheet="1" objects="1" scenarios="1"/>
  <mergeCells count="3">
    <mergeCell ref="B28:F28"/>
    <mergeCell ref="B3:F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208</v>
      </c>
      <c r="C3" s="122"/>
      <c r="D3" s="122"/>
      <c r="E3" s="122"/>
      <c r="F3" s="122"/>
      <c r="G3" s="1"/>
    </row>
    <row r="4" spans="1:7" ht="15" customHeight="1" x14ac:dyDescent="0.25">
      <c r="A4" s="1"/>
      <c r="B4" s="122"/>
      <c r="C4" s="122"/>
      <c r="D4" s="122"/>
      <c r="E4" s="122"/>
      <c r="F4" s="122"/>
      <c r="G4" s="1"/>
    </row>
    <row r="5" spans="1:7" x14ac:dyDescent="0.25">
      <c r="A5" s="1"/>
      <c r="B5" s="122"/>
      <c r="C5" s="122"/>
      <c r="D5" s="122"/>
      <c r="E5" s="122"/>
      <c r="F5" s="12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2" t="s">
        <v>108</v>
      </c>
      <c r="C9" s="133"/>
      <c r="D9" s="133"/>
      <c r="E9" s="133"/>
      <c r="F9" s="134"/>
      <c r="G9" s="1"/>
    </row>
    <row r="10" spans="1:7" x14ac:dyDescent="0.25">
      <c r="A10" s="1"/>
      <c r="B10" s="163" t="s">
        <v>247</v>
      </c>
      <c r="C10" s="164"/>
      <c r="D10" s="165"/>
      <c r="E10" s="9">
        <v>0</v>
      </c>
      <c r="F10" s="14" t="s">
        <v>3</v>
      </c>
      <c r="G10" s="1"/>
    </row>
    <row r="11" spans="1:7" x14ac:dyDescent="0.25">
      <c r="A11" s="1"/>
      <c r="B11" s="170" t="s">
        <v>10</v>
      </c>
      <c r="C11" s="171"/>
      <c r="D11" s="172"/>
      <c r="E11" s="9">
        <f>-E10*'Fane 5. Individuelt eff. krav'!G9</f>
        <v>0</v>
      </c>
      <c r="F11" s="14" t="s">
        <v>3</v>
      </c>
      <c r="G11" s="1"/>
    </row>
    <row r="12" spans="1:7" x14ac:dyDescent="0.25">
      <c r="A12" s="1"/>
      <c r="B12" s="170" t="s">
        <v>24</v>
      </c>
      <c r="C12" s="171"/>
      <c r="D12" s="172"/>
      <c r="E12" s="9">
        <f>-E10*'Fane 15. Nøgletal'!C33</f>
        <v>0</v>
      </c>
      <c r="F12" s="14" t="s">
        <v>3</v>
      </c>
      <c r="G12" s="1"/>
    </row>
    <row r="13" spans="1:7" x14ac:dyDescent="0.25">
      <c r="A13" s="1"/>
      <c r="B13" s="132" t="s">
        <v>109</v>
      </c>
      <c r="C13" s="133"/>
      <c r="D13" s="134"/>
      <c r="E13" s="12">
        <f>SUM(E10:E12)*(1+'Fane 15. Nøgletal'!C16)^2</f>
        <v>0</v>
      </c>
      <c r="F13" s="13" t="s">
        <v>3</v>
      </c>
      <c r="G13" s="1"/>
    </row>
    <row r="14" spans="1:7" x14ac:dyDescent="0.25">
      <c r="A14" s="1"/>
      <c r="B14" s="1"/>
      <c r="C14" s="1"/>
      <c r="D14" s="1"/>
      <c r="E14" s="1"/>
      <c r="F14" s="1"/>
      <c r="G14" s="1"/>
    </row>
    <row r="15" spans="1:7" x14ac:dyDescent="0.25">
      <c r="A15" s="1"/>
      <c r="B15" s="132" t="s">
        <v>127</v>
      </c>
      <c r="C15" s="133"/>
      <c r="D15" s="133"/>
      <c r="E15" s="133"/>
      <c r="F15" s="134"/>
      <c r="G15" s="1"/>
    </row>
    <row r="16" spans="1:7" x14ac:dyDescent="0.25">
      <c r="A16" s="1"/>
      <c r="B16" s="163" t="s">
        <v>247</v>
      </c>
      <c r="C16" s="164"/>
      <c r="D16" s="165"/>
      <c r="E16" s="9">
        <v>0</v>
      </c>
      <c r="F16" s="14" t="s">
        <v>3</v>
      </c>
      <c r="G16" s="1"/>
    </row>
    <row r="17" spans="1:7" x14ac:dyDescent="0.25">
      <c r="A17" s="1"/>
      <c r="B17" s="170" t="s">
        <v>10</v>
      </c>
      <c r="C17" s="171"/>
      <c r="D17" s="172"/>
      <c r="E17" s="9">
        <f>-E16*'Fane 5. Individuelt eff. krav'!G9</f>
        <v>0</v>
      </c>
      <c r="F17" s="14" t="s">
        <v>3</v>
      </c>
      <c r="G17" s="1"/>
    </row>
    <row r="18" spans="1:7" x14ac:dyDescent="0.25">
      <c r="A18" s="1"/>
      <c r="B18" s="170" t="s">
        <v>24</v>
      </c>
      <c r="C18" s="171"/>
      <c r="D18" s="172"/>
      <c r="E18" s="9">
        <f>-E16*'Fane 15. Nøgletal'!C33</f>
        <v>0</v>
      </c>
      <c r="F18" s="14" t="s">
        <v>3</v>
      </c>
      <c r="G18" s="1"/>
    </row>
    <row r="19" spans="1:7" x14ac:dyDescent="0.25">
      <c r="A19" s="1"/>
      <c r="B19" s="132" t="s">
        <v>128</v>
      </c>
      <c r="C19" s="133"/>
      <c r="D19" s="134"/>
      <c r="E19" s="12">
        <f>SUM(E16:E18)*(1+'Fane 15. Nøgletal'!C16)^3</f>
        <v>0</v>
      </c>
      <c r="F19" s="13" t="s">
        <v>3</v>
      </c>
      <c r="G19" s="1"/>
    </row>
    <row r="20" spans="1:7" x14ac:dyDescent="0.25">
      <c r="A20" s="1"/>
      <c r="B20" s="1"/>
      <c r="C20" s="1"/>
      <c r="D20" s="1"/>
      <c r="E20" s="1"/>
      <c r="F20" s="1"/>
      <c r="G20" s="1"/>
    </row>
    <row r="21" spans="1:7" x14ac:dyDescent="0.25">
      <c r="A21" s="1"/>
      <c r="B21" s="132" t="s">
        <v>174</v>
      </c>
      <c r="C21" s="133"/>
      <c r="D21" s="133"/>
      <c r="E21" s="133"/>
      <c r="F21" s="134"/>
      <c r="G21" s="1"/>
    </row>
    <row r="22" spans="1:7" x14ac:dyDescent="0.25">
      <c r="A22" s="1"/>
      <c r="B22" s="163" t="s">
        <v>247</v>
      </c>
      <c r="C22" s="164"/>
      <c r="D22" s="165"/>
      <c r="E22" s="9">
        <v>0</v>
      </c>
      <c r="F22" s="14" t="s">
        <v>3</v>
      </c>
      <c r="G22" s="1"/>
    </row>
    <row r="23" spans="1:7" x14ac:dyDescent="0.25">
      <c r="A23" s="1"/>
      <c r="B23" s="170" t="s">
        <v>10</v>
      </c>
      <c r="C23" s="171"/>
      <c r="D23" s="172"/>
      <c r="E23" s="9">
        <f>-E22*'Fane 5. Individuelt eff. krav'!G9</f>
        <v>0</v>
      </c>
      <c r="F23" s="14" t="s">
        <v>3</v>
      </c>
      <c r="G23" s="1"/>
    </row>
    <row r="24" spans="1:7" x14ac:dyDescent="0.25">
      <c r="A24" s="1"/>
      <c r="B24" s="170" t="s">
        <v>24</v>
      </c>
      <c r="C24" s="171"/>
      <c r="D24" s="172"/>
      <c r="E24" s="9">
        <f>-E22*'Fane 15. Nøgletal'!C33</f>
        <v>0</v>
      </c>
      <c r="F24" s="14" t="s">
        <v>3</v>
      </c>
      <c r="G24" s="1"/>
    </row>
    <row r="25" spans="1:7" x14ac:dyDescent="0.25">
      <c r="A25" s="1"/>
      <c r="B25" s="132" t="s">
        <v>175</v>
      </c>
      <c r="C25" s="133"/>
      <c r="D25" s="134"/>
      <c r="E25" s="12">
        <f>SUM(E22:E24)*(1+'Fane 15. Nøgletal'!C16)^4</f>
        <v>0</v>
      </c>
      <c r="F25" s="13" t="s">
        <v>3</v>
      </c>
      <c r="G25" s="1"/>
    </row>
    <row r="26" spans="1:7" x14ac:dyDescent="0.25">
      <c r="A26" s="1"/>
      <c r="B26" s="1"/>
      <c r="C26" s="1"/>
      <c r="D26" s="1"/>
      <c r="E26" s="1"/>
      <c r="F26" s="1"/>
      <c r="G26" s="1"/>
    </row>
    <row r="27" spans="1:7" x14ac:dyDescent="0.25">
      <c r="A27" s="1"/>
      <c r="B27" s="132" t="s">
        <v>245</v>
      </c>
      <c r="C27" s="133"/>
      <c r="D27" s="133"/>
      <c r="E27" s="133"/>
      <c r="F27" s="134"/>
      <c r="G27" s="1"/>
    </row>
    <row r="28" spans="1:7" x14ac:dyDescent="0.25">
      <c r="A28" s="1"/>
      <c r="B28" s="163" t="s">
        <v>247</v>
      </c>
      <c r="C28" s="164"/>
      <c r="D28" s="165"/>
      <c r="E28" s="9">
        <v>0</v>
      </c>
      <c r="F28" s="14" t="s">
        <v>3</v>
      </c>
      <c r="G28" s="1"/>
    </row>
    <row r="29" spans="1:7" x14ac:dyDescent="0.25">
      <c r="A29" s="1"/>
      <c r="B29" s="170" t="s">
        <v>10</v>
      </c>
      <c r="C29" s="171"/>
      <c r="D29" s="172"/>
      <c r="E29" s="9">
        <f>-E28*'Fane 5. Individuelt eff. krav'!G9</f>
        <v>0</v>
      </c>
      <c r="F29" s="14" t="s">
        <v>3</v>
      </c>
      <c r="G29" s="1"/>
    </row>
    <row r="30" spans="1:7" x14ac:dyDescent="0.25">
      <c r="A30" s="1"/>
      <c r="B30" s="170" t="s">
        <v>24</v>
      </c>
      <c r="C30" s="171"/>
      <c r="D30" s="172"/>
      <c r="E30" s="9">
        <f>-E28*'Fane 15. Nøgletal'!C33</f>
        <v>0</v>
      </c>
      <c r="F30" s="14" t="s">
        <v>3</v>
      </c>
      <c r="G30" s="1"/>
    </row>
    <row r="31" spans="1:7" x14ac:dyDescent="0.25">
      <c r="A31" s="1"/>
      <c r="B31" s="132" t="s">
        <v>246</v>
      </c>
      <c r="C31" s="133"/>
      <c r="D31" s="134"/>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39"/>
      <c r="B45" s="39"/>
      <c r="C45" s="39"/>
      <c r="D45" s="39"/>
      <c r="E45" s="39"/>
      <c r="F45" s="39"/>
      <c r="G45" s="39"/>
    </row>
    <row r="46" spans="1:7" x14ac:dyDescent="0.25">
      <c r="A46" s="39"/>
      <c r="B46" s="39"/>
      <c r="C46" s="39"/>
      <c r="D46" s="39"/>
      <c r="E46" s="39"/>
      <c r="F46" s="39"/>
      <c r="G46" s="39"/>
    </row>
    <row r="47" spans="1:7" x14ac:dyDescent="0.25">
      <c r="A47" s="39"/>
      <c r="B47" s="39"/>
      <c r="C47" s="39"/>
      <c r="D47" s="39"/>
      <c r="E47" s="39"/>
      <c r="F47" s="39"/>
      <c r="G47" s="39"/>
    </row>
    <row r="48" spans="1:7" x14ac:dyDescent="0.25">
      <c r="A48" s="39"/>
      <c r="B48" s="39"/>
      <c r="C48" s="39"/>
      <c r="D48" s="39"/>
      <c r="E48" s="39"/>
      <c r="F48" s="39"/>
      <c r="G48" s="39"/>
    </row>
    <row r="49" spans="1:7" x14ac:dyDescent="0.25">
      <c r="A49" s="39"/>
      <c r="B49" s="39"/>
      <c r="C49" s="39"/>
      <c r="D49" s="39"/>
      <c r="E49" s="39"/>
      <c r="F49" s="39"/>
      <c r="G49" s="39"/>
    </row>
    <row r="50" spans="1:7" x14ac:dyDescent="0.25">
      <c r="A50" s="39"/>
      <c r="B50" s="39"/>
      <c r="C50" s="39"/>
      <c r="D50" s="39"/>
      <c r="E50" s="39"/>
      <c r="F50" s="39"/>
      <c r="G50" s="39"/>
    </row>
  </sheetData>
  <sheetProtection algorithmName="SHA-512" hashValue="cSlpsThZ8sMwLQcT0MlGDmFtv4TT2DMASG3UCYXhkhVuFrAzqE1KcPhraqWUNNTLBPcW6Wrk9Jv4ttBTxhONUA==" saltValue="HSVzJJYFkVYaLCvQW8dJ2w==" spinCount="100000" sheet="1" objects="1" scenarios="1"/>
  <mergeCells count="21">
    <mergeCell ref="B27:F27"/>
    <mergeCell ref="B28:D28"/>
    <mergeCell ref="B29:D29"/>
    <mergeCell ref="B30:D30"/>
    <mergeCell ref="B31:D31"/>
    <mergeCell ref="B3:F5"/>
    <mergeCell ref="B25:D25"/>
    <mergeCell ref="B21:F21"/>
    <mergeCell ref="B22:D22"/>
    <mergeCell ref="B19:D19"/>
    <mergeCell ref="B16:D16"/>
    <mergeCell ref="B17:D17"/>
    <mergeCell ref="B18:D18"/>
    <mergeCell ref="B23:D23"/>
    <mergeCell ref="B24:D24"/>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6"/>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4" style="2" customWidth="1"/>
    <col min="4" max="4" width="3.28515625" style="2" customWidth="1"/>
    <col min="5" max="5" width="14"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209</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2" t="s">
        <v>110</v>
      </c>
      <c r="C8" s="133"/>
      <c r="D8" s="133"/>
      <c r="E8" s="133"/>
      <c r="F8" s="134"/>
      <c r="G8" s="1"/>
    </row>
    <row r="9" spans="1:7" ht="15" customHeight="1" x14ac:dyDescent="0.25">
      <c r="A9" s="1"/>
      <c r="B9" s="95" t="s">
        <v>111</v>
      </c>
      <c r="C9" s="160" t="s">
        <v>11</v>
      </c>
      <c r="D9" s="162"/>
      <c r="E9" s="173" t="s">
        <v>29</v>
      </c>
      <c r="F9" s="174"/>
      <c r="G9" s="1"/>
    </row>
    <row r="10" spans="1:7" ht="26.25" x14ac:dyDescent="0.25">
      <c r="A10" s="1"/>
      <c r="B10" s="70" t="s">
        <v>276</v>
      </c>
      <c r="C10" s="9">
        <v>0</v>
      </c>
      <c r="D10" s="14" t="s">
        <v>3</v>
      </c>
      <c r="E10" s="9">
        <v>0</v>
      </c>
      <c r="F10" s="14" t="s">
        <v>3</v>
      </c>
      <c r="G10" s="1"/>
    </row>
    <row r="11" spans="1:7" x14ac:dyDescent="0.25">
      <c r="A11" s="1"/>
      <c r="B11" s="23"/>
      <c r="C11" s="9"/>
      <c r="D11" s="14" t="s">
        <v>3</v>
      </c>
      <c r="E11" s="9"/>
      <c r="F11" s="14" t="s">
        <v>3</v>
      </c>
      <c r="G11" s="1"/>
    </row>
    <row r="12" spans="1:7" ht="28.5" customHeight="1" x14ac:dyDescent="0.25">
      <c r="A12" s="1"/>
      <c r="B12" s="20" t="s">
        <v>176</v>
      </c>
      <c r="C12" s="12">
        <f>SUM(C10:C10)</f>
        <v>0</v>
      </c>
      <c r="D12" s="13" t="s">
        <v>3</v>
      </c>
      <c r="E12" s="12">
        <f>SUM(E10:E10)</f>
        <v>0</v>
      </c>
      <c r="F12" s="13" t="s">
        <v>3</v>
      </c>
      <c r="G12" s="1"/>
    </row>
    <row r="13" spans="1:7" ht="27" customHeight="1" x14ac:dyDescent="0.25">
      <c r="A13" s="1"/>
      <c r="B13" s="20" t="s">
        <v>264</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RLjbYIECs+GIL7yaPjmPwsUAUuTNvAV/NAqot7AKtDx9ceOVPDtZ1R6/NOpgClzcChbJCcknLSt4g7STVEAHUg==" saltValue="Wajsduatx6wyL8MPgzDe/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1"/>
  <sheetViews>
    <sheetView showGridLines="0" view="pageLayout" zoomScaleNormal="100" workbookViewId="0"/>
  </sheetViews>
  <sheetFormatPr defaultColWidth="9" defaultRowHeight="15" x14ac:dyDescent="0.25"/>
  <cols>
    <col min="1" max="1" width="3.42578125" style="2" customWidth="1"/>
    <col min="2" max="2" width="37.28515625" style="2" customWidth="1"/>
    <col min="3" max="3" width="15.7109375" style="2" customWidth="1"/>
    <col min="4" max="4" width="3.28515625" style="2" customWidth="1"/>
    <col min="5" max="5" width="18.140625" style="2" customWidth="1"/>
    <col min="6" max="6" width="3.28515625" style="2" customWidth="1"/>
    <col min="7" max="7" width="3.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210</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2" t="s">
        <v>265</v>
      </c>
      <c r="C9" s="133"/>
      <c r="D9" s="133"/>
      <c r="E9" s="133"/>
      <c r="F9" s="134"/>
      <c r="G9" s="1"/>
    </row>
    <row r="10" spans="1:7" ht="26.25" x14ac:dyDescent="0.25">
      <c r="A10" s="1"/>
      <c r="B10" s="95" t="s">
        <v>18</v>
      </c>
      <c r="C10" s="95" t="s">
        <v>11</v>
      </c>
      <c r="D10" s="96"/>
      <c r="E10" s="95" t="s">
        <v>29</v>
      </c>
      <c r="F10" s="96"/>
      <c r="G10" s="1"/>
    </row>
    <row r="11" spans="1:7" x14ac:dyDescent="0.25">
      <c r="A11" s="1"/>
      <c r="B11" s="70" t="s">
        <v>277</v>
      </c>
      <c r="C11" s="9">
        <v>0</v>
      </c>
      <c r="D11" s="14" t="s">
        <v>3</v>
      </c>
      <c r="E11" s="9">
        <v>0</v>
      </c>
      <c r="F11" s="14" t="s">
        <v>3</v>
      </c>
      <c r="G11" s="1"/>
    </row>
    <row r="12" spans="1:7" x14ac:dyDescent="0.25">
      <c r="A12" s="1"/>
      <c r="B12" s="30" t="s">
        <v>73</v>
      </c>
      <c r="C12" s="12">
        <f>SUM(C11:C11)</f>
        <v>0</v>
      </c>
      <c r="D12" s="13" t="s">
        <v>3</v>
      </c>
      <c r="E12" s="12">
        <f>SUM(E11:E11)</f>
        <v>0</v>
      </c>
      <c r="F12" s="13" t="s">
        <v>3</v>
      </c>
      <c r="G12" s="1"/>
    </row>
    <row r="13" spans="1:7" x14ac:dyDescent="0.25">
      <c r="A13" s="1"/>
      <c r="B13" s="30" t="s">
        <v>266</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69"/>
      <c r="C15" s="169"/>
      <c r="D15" s="169"/>
      <c r="E15" s="169"/>
      <c r="F15" s="169"/>
      <c r="G15" s="1"/>
    </row>
    <row r="16" spans="1:7" x14ac:dyDescent="0.25">
      <c r="A16" s="1"/>
      <c r="B16" s="43"/>
      <c r="C16" s="43"/>
      <c r="D16" s="43"/>
      <c r="E16" s="43"/>
      <c r="F16" s="43"/>
      <c r="G16" s="1"/>
    </row>
    <row r="17" spans="1:7" x14ac:dyDescent="0.25">
      <c r="A17" s="1"/>
      <c r="B17" s="44"/>
      <c r="C17" s="49"/>
      <c r="D17" s="46"/>
      <c r="E17" s="49"/>
      <c r="F17" s="46"/>
      <c r="G17" s="1"/>
    </row>
    <row r="18" spans="1:7" x14ac:dyDescent="0.25">
      <c r="A18" s="1"/>
      <c r="B18" s="29"/>
      <c r="C18" s="47"/>
      <c r="D18" s="48"/>
      <c r="E18" s="47"/>
      <c r="F18" s="48"/>
      <c r="G18" s="1"/>
    </row>
    <row r="19" spans="1:7" x14ac:dyDescent="0.25">
      <c r="A19" s="1"/>
      <c r="B19" s="29"/>
      <c r="C19" s="47"/>
      <c r="D19" s="48"/>
      <c r="E19" s="47"/>
      <c r="F19" s="48"/>
      <c r="G19" s="1"/>
    </row>
    <row r="20" spans="1:7" x14ac:dyDescent="0.25">
      <c r="A20" s="1"/>
      <c r="B20" s="41"/>
      <c r="C20" s="41"/>
      <c r="D20" s="41"/>
      <c r="E20" s="41"/>
      <c r="F20" s="41"/>
      <c r="G20" s="1"/>
    </row>
    <row r="21" spans="1:7" x14ac:dyDescent="0.25">
      <c r="A21" s="1"/>
      <c r="B21" s="169"/>
      <c r="C21" s="169"/>
      <c r="D21" s="169"/>
      <c r="E21" s="169"/>
      <c r="F21" s="169"/>
      <c r="G21" s="1"/>
    </row>
    <row r="22" spans="1:7" x14ac:dyDescent="0.25">
      <c r="A22" s="1"/>
      <c r="B22" s="43"/>
      <c r="C22" s="43"/>
      <c r="D22" s="43"/>
      <c r="E22" s="43"/>
      <c r="F22" s="43"/>
      <c r="G22" s="1"/>
    </row>
    <row r="23" spans="1:7" x14ac:dyDescent="0.25">
      <c r="A23" s="1"/>
      <c r="B23" s="44"/>
      <c r="C23" s="49"/>
      <c r="D23" s="46"/>
      <c r="E23" s="49"/>
      <c r="F23" s="46"/>
      <c r="G23" s="1"/>
    </row>
    <row r="24" spans="1:7" x14ac:dyDescent="0.25">
      <c r="A24" s="1"/>
      <c r="B24" s="29"/>
      <c r="C24" s="47"/>
      <c r="D24" s="48"/>
      <c r="E24" s="47"/>
      <c r="F24" s="48"/>
      <c r="G24" s="1"/>
    </row>
    <row r="25" spans="1:7" x14ac:dyDescent="0.25">
      <c r="A25" s="1"/>
      <c r="B25" s="29"/>
      <c r="C25" s="47"/>
      <c r="D25" s="48"/>
      <c r="E25" s="47"/>
      <c r="F25" s="48"/>
      <c r="G25" s="1"/>
    </row>
    <row r="26" spans="1:7" x14ac:dyDescent="0.25">
      <c r="A26" s="1"/>
      <c r="B26" s="41"/>
      <c r="C26" s="41"/>
      <c r="D26" s="41"/>
      <c r="E26" s="41"/>
      <c r="F26" s="41"/>
      <c r="G26" s="1"/>
    </row>
    <row r="27" spans="1:7" x14ac:dyDescent="0.25">
      <c r="A27" s="1"/>
      <c r="B27" s="169"/>
      <c r="C27" s="169"/>
      <c r="D27" s="169"/>
      <c r="E27" s="169"/>
      <c r="F27" s="169"/>
      <c r="G27" s="1"/>
    </row>
    <row r="28" spans="1:7" x14ac:dyDescent="0.25">
      <c r="A28" s="1"/>
      <c r="B28" s="43"/>
      <c r="C28" s="43"/>
      <c r="D28" s="43"/>
      <c r="E28" s="43"/>
      <c r="F28" s="43"/>
      <c r="G28" s="1"/>
    </row>
    <row r="29" spans="1:7" x14ac:dyDescent="0.25">
      <c r="A29" s="1"/>
      <c r="B29" s="44"/>
      <c r="C29" s="49"/>
      <c r="D29" s="46"/>
      <c r="E29" s="49"/>
      <c r="F29" s="46"/>
      <c r="G29" s="1"/>
    </row>
    <row r="30" spans="1:7" x14ac:dyDescent="0.25">
      <c r="A30" s="1"/>
      <c r="B30" s="29"/>
      <c r="C30" s="47"/>
      <c r="D30" s="48"/>
      <c r="E30" s="47"/>
      <c r="F30" s="48"/>
      <c r="G30" s="1"/>
    </row>
    <row r="31" spans="1:7" x14ac:dyDescent="0.25">
      <c r="A31" s="1"/>
      <c r="B31" s="29"/>
      <c r="C31" s="47"/>
      <c r="D31" s="48"/>
      <c r="E31" s="47"/>
      <c r="F31" s="4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mhqBilSD4n5F6klI6oEBh/jtuDkttzrDrTew4maQ5u+DS9LE0T12oCGSIpP6wNvHLYR+95q7gfPJ4+gqFa0+/Q==" saltValue="Tbeav1PcRT6WGNMvu+WcsA=="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89" zoomScaleNormal="100" zoomScalePageLayoutView="89"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6" t="s">
        <v>244</v>
      </c>
      <c r="C3" s="116"/>
      <c r="D3" s="116"/>
      <c r="E3" s="1"/>
    </row>
    <row r="4" spans="1:5" ht="15" customHeight="1" x14ac:dyDescent="0.25">
      <c r="A4" s="1"/>
      <c r="B4" s="116"/>
      <c r="C4" s="116"/>
      <c r="D4" s="11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0" t="s">
        <v>13</v>
      </c>
      <c r="C8" s="31"/>
      <c r="D8" s="19"/>
      <c r="E8" s="1"/>
    </row>
    <row r="9" spans="1:5" x14ac:dyDescent="0.25">
      <c r="A9" s="1"/>
      <c r="B9" s="67" t="s">
        <v>106</v>
      </c>
      <c r="C9" s="7">
        <f>'Fane 3. Omkostninger i ØR2023'!C22</f>
        <v>189580983.54910886</v>
      </c>
      <c r="D9" s="8" t="s">
        <v>3</v>
      </c>
      <c r="E9" s="1"/>
    </row>
    <row r="10" spans="1:5" ht="17.25" customHeight="1" x14ac:dyDescent="0.25">
      <c r="A10" s="1"/>
      <c r="B10" s="94" t="s">
        <v>37</v>
      </c>
      <c r="C10" s="36">
        <f>'Fane 11.1. Varige tillæg'!C36</f>
        <v>1283358.132</v>
      </c>
      <c r="D10" s="8" t="s">
        <v>3</v>
      </c>
      <c r="E10" s="1"/>
    </row>
    <row r="11" spans="1:5" ht="17.25" customHeight="1" x14ac:dyDescent="0.25">
      <c r="A11" s="1"/>
      <c r="B11" s="94" t="s">
        <v>38</v>
      </c>
      <c r="C11" s="36">
        <f>'Fane 11.1. Varige tillæg'!E36</f>
        <v>2097117.3104000001</v>
      </c>
      <c r="D11" s="8" t="s">
        <v>3</v>
      </c>
      <c r="E11" s="1"/>
    </row>
    <row r="12" spans="1:5" ht="17.25" customHeight="1" x14ac:dyDescent="0.25">
      <c r="A12" s="1"/>
      <c r="B12" s="94" t="s">
        <v>27</v>
      </c>
      <c r="C12" s="9">
        <f>-'Fane 14. Bortfald'!C13</f>
        <v>0</v>
      </c>
      <c r="D12" s="8" t="s">
        <v>3</v>
      </c>
      <c r="E12" s="1"/>
    </row>
    <row r="13" spans="1:5" ht="17.25" customHeight="1" x14ac:dyDescent="0.25">
      <c r="A13" s="1"/>
      <c r="B13" s="94" t="s">
        <v>26</v>
      </c>
      <c r="C13" s="9">
        <f>-'Fane 14. Bortfald'!E13</f>
        <v>0</v>
      </c>
      <c r="D13" s="8" t="s">
        <v>3</v>
      </c>
      <c r="E13" s="1"/>
    </row>
    <row r="14" spans="1:5" ht="17.25" customHeight="1" x14ac:dyDescent="0.25">
      <c r="A14" s="1"/>
      <c r="B14" s="94" t="s">
        <v>104</v>
      </c>
      <c r="C14" s="9">
        <f>'Fane 13. Tilknyttet virksomhed'!C13</f>
        <v>0</v>
      </c>
      <c r="D14" s="8" t="s">
        <v>3</v>
      </c>
      <c r="E14" s="1"/>
    </row>
    <row r="15" spans="1:5" ht="17.25" customHeight="1" x14ac:dyDescent="0.25">
      <c r="A15" s="1"/>
      <c r="B15" s="94" t="s">
        <v>105</v>
      </c>
      <c r="C15" s="9">
        <f>'Fane 13. Tilknyttet virksomhed'!E13</f>
        <v>0</v>
      </c>
      <c r="D15" s="8" t="s">
        <v>3</v>
      </c>
      <c r="E15" s="1"/>
    </row>
    <row r="16" spans="1:5" ht="17.25" customHeight="1" x14ac:dyDescent="0.25">
      <c r="A16" s="1"/>
      <c r="B16" s="94" t="s">
        <v>19</v>
      </c>
      <c r="C16" s="9">
        <f>SUM(C9:C15)*'Fane 15. Nøgletal'!C16</f>
        <v>15591285.886513917</v>
      </c>
      <c r="D16" s="8" t="s">
        <v>3</v>
      </c>
      <c r="E16" s="1"/>
    </row>
    <row r="17" spans="1:5" ht="17.25" customHeight="1" x14ac:dyDescent="0.25">
      <c r="A17" s="1"/>
      <c r="B17" s="94" t="s">
        <v>10</v>
      </c>
      <c r="C17" s="9">
        <f>-SUM(C9,C10:C16)*'Fane 5. Individuelt eff. krav'!G9</f>
        <v>0</v>
      </c>
      <c r="D17" s="8" t="s">
        <v>3</v>
      </c>
      <c r="E17" s="1"/>
    </row>
    <row r="18" spans="1:5" ht="17.25" customHeight="1" x14ac:dyDescent="0.25">
      <c r="A18" s="1"/>
      <c r="B18" s="94" t="s">
        <v>24</v>
      </c>
      <c r="C18" s="9">
        <f>-'Fane 4.1. Gen. krav - drift'!G55</f>
        <v>-1484006.3221877692</v>
      </c>
      <c r="D18" s="8" t="s">
        <v>3</v>
      </c>
      <c r="E18" s="38"/>
    </row>
    <row r="19" spans="1:5" ht="15" customHeight="1" x14ac:dyDescent="0.25">
      <c r="A19" s="1"/>
      <c r="B19" s="94" t="s">
        <v>25</v>
      </c>
      <c r="C19" s="9">
        <f>-'Fane 4.2. Gen. krav - anlæg'!G53</f>
        <v>0</v>
      </c>
      <c r="D19" s="8" t="s">
        <v>3</v>
      </c>
      <c r="E19" s="1"/>
    </row>
    <row r="20" spans="1:5" ht="15" customHeight="1" x14ac:dyDescent="0.25">
      <c r="A20" s="1"/>
      <c r="B20" s="87" t="s">
        <v>21</v>
      </c>
      <c r="C20" s="10">
        <f>SUM(C9:C19)</f>
        <v>207068738.55583501</v>
      </c>
      <c r="D20" s="11" t="s">
        <v>3</v>
      </c>
      <c r="E20" s="1"/>
    </row>
    <row r="21" spans="1:5" ht="15" customHeight="1" x14ac:dyDescent="0.25">
      <c r="A21" s="1"/>
      <c r="B21" s="30" t="s">
        <v>12</v>
      </c>
      <c r="C21" s="31"/>
      <c r="D21" s="19"/>
      <c r="E21" s="1"/>
    </row>
    <row r="22" spans="1:5" ht="15" customHeight="1" x14ac:dyDescent="0.25">
      <c r="A22" s="1"/>
      <c r="B22" s="95" t="s">
        <v>12</v>
      </c>
      <c r="C22" s="10">
        <f>'Fane 6. Ikke-påvirkelige omk.'!C19+'Fane 6. Ikke-påvirkelige omk.'!C23+'Fane 6. Ikke-påvirkelige omk.'!C31</f>
        <v>10594293.77229568</v>
      </c>
      <c r="D22" s="11" t="s">
        <v>3</v>
      </c>
      <c r="E22" s="1"/>
    </row>
    <row r="23" spans="1:5" ht="15" customHeight="1" x14ac:dyDescent="0.25">
      <c r="A23" s="1"/>
      <c r="B23" s="30" t="s">
        <v>70</v>
      </c>
      <c r="C23" s="31"/>
      <c r="D23" s="19"/>
      <c r="E23" s="1"/>
    </row>
    <row r="24" spans="1:5" ht="15" customHeight="1" x14ac:dyDescent="0.25">
      <c r="A24" s="1"/>
      <c r="B24" s="87" t="s">
        <v>70</v>
      </c>
      <c r="C24" s="10">
        <f>'Fane 12. Periodevise driftsomk.'!E13</f>
        <v>0</v>
      </c>
      <c r="D24" s="11" t="s">
        <v>3</v>
      </c>
      <c r="E24" s="1"/>
    </row>
    <row r="25" spans="1:5" ht="15" customHeight="1" x14ac:dyDescent="0.25">
      <c r="A25" s="1"/>
      <c r="B25" s="30" t="s">
        <v>69</v>
      </c>
      <c r="C25" s="31"/>
      <c r="D25" s="19"/>
      <c r="E25" s="1"/>
    </row>
    <row r="26" spans="1:5" x14ac:dyDescent="0.25">
      <c r="A26" s="1"/>
      <c r="B26" s="94" t="s">
        <v>65</v>
      </c>
      <c r="C26" s="9">
        <f>'Fane 11.2. Engangstillæg'!C12</f>
        <v>0</v>
      </c>
      <c r="D26" s="8" t="s">
        <v>3</v>
      </c>
      <c r="E26" s="1"/>
    </row>
    <row r="27" spans="1:5" ht="15" customHeight="1" x14ac:dyDescent="0.25">
      <c r="A27" s="1"/>
      <c r="B27" s="94" t="s">
        <v>66</v>
      </c>
      <c r="C27" s="9">
        <f>'Fane 11.2. Engangstillæg'!E12</f>
        <v>0</v>
      </c>
      <c r="D27" s="8" t="s">
        <v>3</v>
      </c>
      <c r="E27" s="1"/>
    </row>
    <row r="28" spans="1:5" ht="15" customHeight="1" x14ac:dyDescent="0.25">
      <c r="A28" s="1"/>
      <c r="B28" s="94" t="s">
        <v>185</v>
      </c>
      <c r="C28" s="9">
        <f>-C26*('Fane 15. Nøgletal'!C33+'Fane 5. Individuelt eff. krav'!G9)</f>
        <v>0</v>
      </c>
      <c r="D28" s="8" t="s">
        <v>3</v>
      </c>
      <c r="E28" s="1"/>
    </row>
    <row r="29" spans="1:5" ht="15" customHeight="1" x14ac:dyDescent="0.25">
      <c r="A29" s="1"/>
      <c r="B29" s="37" t="s">
        <v>186</v>
      </c>
      <c r="C29" s="9">
        <f>-C27*('Fane 15. Nøgletal'!C28+'Fane 5. Individuelt eff. krav'!G9)</f>
        <v>0</v>
      </c>
      <c r="D29" s="8" t="s">
        <v>3</v>
      </c>
      <c r="E29" s="1"/>
    </row>
    <row r="30" spans="1:5" x14ac:dyDescent="0.25">
      <c r="A30" s="1"/>
      <c r="B30" s="87" t="s">
        <v>71</v>
      </c>
      <c r="C30" s="10">
        <f>SUM(C26:C29)</f>
        <v>0</v>
      </c>
      <c r="D30" s="11" t="s">
        <v>3</v>
      </c>
      <c r="E30" s="1"/>
    </row>
    <row r="31" spans="1:5" x14ac:dyDescent="0.25">
      <c r="A31" s="1"/>
      <c r="B31" s="30" t="s">
        <v>222</v>
      </c>
      <c r="C31" s="31"/>
      <c r="D31" s="19"/>
      <c r="E31" s="1"/>
    </row>
    <row r="32" spans="1:5" x14ac:dyDescent="0.25">
      <c r="A32" s="1"/>
      <c r="B32" s="95" t="s">
        <v>222</v>
      </c>
      <c r="C32" s="10">
        <f>'Fane 9. Korrektion af ØR2022'!E17</f>
        <v>-190783</v>
      </c>
      <c r="D32" s="11" t="s">
        <v>3</v>
      </c>
      <c r="E32" s="1"/>
    </row>
    <row r="33" spans="1:5" x14ac:dyDescent="0.25">
      <c r="A33" s="1"/>
      <c r="B33" s="30" t="s">
        <v>119</v>
      </c>
      <c r="C33" s="31"/>
      <c r="D33" s="19"/>
      <c r="E33" s="1"/>
    </row>
    <row r="34" spans="1:5" x14ac:dyDescent="0.25">
      <c r="A34" s="1"/>
      <c r="B34" s="95" t="s">
        <v>163</v>
      </c>
      <c r="C34" s="10">
        <f>'Fane 7. Kontrol af ØR2022'!E32</f>
        <v>-1719500.2418318838</v>
      </c>
      <c r="D34" s="11" t="s">
        <v>3</v>
      </c>
      <c r="E34" s="1"/>
    </row>
    <row r="35" spans="1:5" ht="26.25" customHeight="1" x14ac:dyDescent="0.25">
      <c r="A35" s="1"/>
      <c r="B35" s="117" t="s">
        <v>155</v>
      </c>
      <c r="C35" s="118"/>
      <c r="D35" s="119"/>
      <c r="E35" s="1"/>
    </row>
    <row r="36" spans="1:5" x14ac:dyDescent="0.25">
      <c r="A36" s="1"/>
      <c r="B36" s="69" t="s">
        <v>156</v>
      </c>
      <c r="C36" s="10">
        <f>'Fane 8. Skattesagen'!G13</f>
        <v>0</v>
      </c>
      <c r="D36" s="11" t="s">
        <v>3</v>
      </c>
      <c r="E36" s="1"/>
    </row>
    <row r="37" spans="1:5" x14ac:dyDescent="0.25">
      <c r="A37" s="1"/>
      <c r="B37" s="30" t="s">
        <v>107</v>
      </c>
      <c r="C37" s="12">
        <f>SUM(C20,C22,C24,C30,C32,C34,C36)</f>
        <v>215752749.08629882</v>
      </c>
      <c r="D37" s="13"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39"/>
      <c r="B49" s="39"/>
      <c r="C49" s="39"/>
      <c r="D49" s="39"/>
      <c r="E49" s="39"/>
    </row>
  </sheetData>
  <sheetProtection algorithmName="SHA-512" hashValue="Er3eTf5Zns6NBjo38ity4QrsYoFgu0GlbySsZ7boNxRbuJKkaAvLBVONvRXOo8zkxChJ4kx87OUm38VPtdcocw==" saltValue="xRGV6WZhIXdJhSKSu1wiug==" spinCount="100000" sheet="1" objects="1" scenarios="1"/>
  <mergeCells count="2">
    <mergeCell ref="B3:D4"/>
    <mergeCell ref="B35:D3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89" zoomScaleNormal="100" zoomScalePageLayoutView="89" workbookViewId="0"/>
  </sheetViews>
  <sheetFormatPr defaultColWidth="9" defaultRowHeight="15" x14ac:dyDescent="0.25"/>
  <cols>
    <col min="1" max="1" width="8.5703125" style="2" customWidth="1"/>
    <col min="2" max="2" width="56.140625" style="2" customWidth="1"/>
    <col min="3" max="3" width="8.42578125" style="2" customWidth="1"/>
    <col min="4" max="4" width="12.28515625" style="2" customWidth="1"/>
    <col min="5" max="16384" width="9" style="2"/>
  </cols>
  <sheetData>
    <row r="1" spans="1:4" x14ac:dyDescent="0.25">
      <c r="A1" s="1"/>
      <c r="B1" s="1"/>
      <c r="C1" s="1"/>
      <c r="D1" s="1"/>
    </row>
    <row r="2" spans="1:4" x14ac:dyDescent="0.25">
      <c r="A2" s="1"/>
      <c r="B2" s="1"/>
      <c r="C2" s="1"/>
      <c r="D2" s="1"/>
    </row>
    <row r="3" spans="1:4" ht="15" customHeight="1" x14ac:dyDescent="0.25">
      <c r="A3" s="1"/>
      <c r="B3" s="122" t="s">
        <v>211</v>
      </c>
      <c r="C3" s="122"/>
      <c r="D3" s="1"/>
    </row>
    <row r="4" spans="1:4" ht="25.5" customHeight="1" x14ac:dyDescent="0.25">
      <c r="A4" s="1"/>
      <c r="B4" s="122"/>
      <c r="C4" s="12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0" t="s">
        <v>14</v>
      </c>
      <c r="C8" s="19"/>
      <c r="D8" s="1"/>
    </row>
    <row r="9" spans="1:4" x14ac:dyDescent="0.25">
      <c r="A9" s="1"/>
      <c r="B9" s="51" t="s">
        <v>157</v>
      </c>
      <c r="C9" s="24">
        <v>1.2699999999999999E-2</v>
      </c>
      <c r="D9" s="1"/>
    </row>
    <row r="10" spans="1:4" x14ac:dyDescent="0.25">
      <c r="A10" s="1"/>
      <c r="B10" s="51" t="s">
        <v>91</v>
      </c>
      <c r="C10" s="24">
        <v>1.7500000000000002E-2</v>
      </c>
      <c r="D10" s="1"/>
    </row>
    <row r="11" spans="1:4" x14ac:dyDescent="0.25">
      <c r="A11" s="1"/>
      <c r="B11" s="51" t="s">
        <v>23</v>
      </c>
      <c r="C11" s="24">
        <v>1.6899999999999998E-2</v>
      </c>
      <c r="D11" s="1"/>
    </row>
    <row r="12" spans="1:4" x14ac:dyDescent="0.25">
      <c r="A12" s="1"/>
      <c r="B12" s="26" t="s">
        <v>39</v>
      </c>
      <c r="C12" s="24">
        <v>1.9699999999999999E-2</v>
      </c>
      <c r="D12" s="1"/>
    </row>
    <row r="13" spans="1:4" x14ac:dyDescent="0.25">
      <c r="A13" s="1"/>
      <c r="B13" s="26" t="s">
        <v>112</v>
      </c>
      <c r="C13" s="27">
        <v>1.2200000000000001E-2</v>
      </c>
      <c r="D13" s="1"/>
    </row>
    <row r="14" spans="1:4" x14ac:dyDescent="0.25">
      <c r="A14" s="1"/>
      <c r="B14" s="26" t="s">
        <v>162</v>
      </c>
      <c r="C14" s="27">
        <v>3.3E-3</v>
      </c>
      <c r="D14" s="1"/>
    </row>
    <row r="15" spans="1:4" x14ac:dyDescent="0.25">
      <c r="A15" s="1"/>
      <c r="B15" s="26" t="s">
        <v>177</v>
      </c>
      <c r="C15" s="27">
        <v>3.56E-2</v>
      </c>
      <c r="D15" s="1"/>
    </row>
    <row r="16" spans="1:4" x14ac:dyDescent="0.25">
      <c r="A16" s="1"/>
      <c r="B16" s="26" t="s">
        <v>225</v>
      </c>
      <c r="C16" s="27">
        <v>8.0799999999999997E-2</v>
      </c>
      <c r="D16" s="1"/>
    </row>
    <row r="17" spans="1:4" x14ac:dyDescent="0.25">
      <c r="A17" s="1"/>
      <c r="B17" s="30"/>
      <c r="C17" s="19"/>
      <c r="D17" s="1"/>
    </row>
    <row r="18" spans="1:4" x14ac:dyDescent="0.25">
      <c r="A18" s="1"/>
      <c r="B18" s="1"/>
      <c r="C18" s="1"/>
      <c r="D18" s="1"/>
    </row>
    <row r="19" spans="1:4" x14ac:dyDescent="0.25">
      <c r="A19" s="1"/>
      <c r="B19" s="1"/>
      <c r="C19" s="1"/>
      <c r="D19" s="1"/>
    </row>
    <row r="20" spans="1:4" x14ac:dyDescent="0.25">
      <c r="A20" s="1"/>
      <c r="B20" s="30" t="s">
        <v>83</v>
      </c>
      <c r="C20" s="19"/>
      <c r="D20" s="1"/>
    </row>
    <row r="21" spans="1:4" x14ac:dyDescent="0.25">
      <c r="A21" s="1"/>
      <c r="B21" s="51" t="s">
        <v>158</v>
      </c>
      <c r="C21" s="22">
        <v>9.1000000000000004E-3</v>
      </c>
      <c r="D21" s="1"/>
    </row>
    <row r="22" spans="1:4" x14ac:dyDescent="0.25">
      <c r="A22" s="1"/>
      <c r="B22" s="51" t="s">
        <v>93</v>
      </c>
      <c r="C22" s="22">
        <v>1.77E-2</v>
      </c>
      <c r="D22" s="1"/>
    </row>
    <row r="23" spans="1:4" x14ac:dyDescent="0.25">
      <c r="A23" s="1"/>
      <c r="B23" s="51" t="s">
        <v>92</v>
      </c>
      <c r="C23" s="22">
        <v>8.6999999999999994E-3</v>
      </c>
      <c r="D23" s="1"/>
    </row>
    <row r="24" spans="1:4" x14ac:dyDescent="0.25">
      <c r="A24" s="1"/>
      <c r="B24" s="51" t="s">
        <v>94</v>
      </c>
      <c r="C24" s="22">
        <v>2.8400000000000002E-2</v>
      </c>
      <c r="D24" s="1"/>
    </row>
    <row r="25" spans="1:4" x14ac:dyDescent="0.25">
      <c r="A25" s="1"/>
      <c r="B25" s="51" t="s">
        <v>113</v>
      </c>
      <c r="C25" s="28">
        <v>2.75E-2</v>
      </c>
      <c r="D25" s="1"/>
    </row>
    <row r="26" spans="1:4" x14ac:dyDescent="0.25">
      <c r="A26" s="1"/>
      <c r="B26" s="51" t="s">
        <v>129</v>
      </c>
      <c r="C26" s="28">
        <v>1.4800000000000001E-2</v>
      </c>
      <c r="D26" s="1"/>
    </row>
    <row r="27" spans="1:4" x14ac:dyDescent="0.25">
      <c r="A27" s="1"/>
      <c r="B27" s="51" t="s">
        <v>178</v>
      </c>
      <c r="C27" s="28">
        <v>0</v>
      </c>
      <c r="D27" s="1"/>
    </row>
    <row r="28" spans="1:4" x14ac:dyDescent="0.25">
      <c r="A28" s="1"/>
      <c r="B28" s="26" t="s">
        <v>226</v>
      </c>
      <c r="C28" s="66">
        <v>0</v>
      </c>
      <c r="D28" s="1"/>
    </row>
    <row r="29" spans="1:4" x14ac:dyDescent="0.25">
      <c r="A29" s="1"/>
      <c r="B29" s="30"/>
      <c r="C29" s="19"/>
      <c r="D29" s="1"/>
    </row>
    <row r="30" spans="1:4" x14ac:dyDescent="0.25">
      <c r="A30" s="1"/>
      <c r="B30" s="1"/>
      <c r="C30" s="1"/>
      <c r="D30" s="1"/>
    </row>
    <row r="31" spans="1:4" x14ac:dyDescent="0.25">
      <c r="A31" s="1"/>
      <c r="B31" s="1"/>
      <c r="C31" s="1"/>
      <c r="D31" s="1"/>
    </row>
    <row r="32" spans="1:4" x14ac:dyDescent="0.25">
      <c r="A32" s="1"/>
      <c r="B32" s="30" t="s">
        <v>82</v>
      </c>
      <c r="C32" s="19"/>
      <c r="D32" s="1"/>
    </row>
    <row r="33" spans="1:4" x14ac:dyDescent="0.25">
      <c r="A33" s="1"/>
      <c r="B33" s="51" t="s">
        <v>95</v>
      </c>
      <c r="C33" s="56">
        <v>0.02</v>
      </c>
      <c r="D33" s="1"/>
    </row>
    <row r="34" spans="1:4" x14ac:dyDescent="0.25">
      <c r="A34" s="1"/>
      <c r="B34" s="30"/>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9"/>
      <c r="B50" s="39"/>
      <c r="C50" s="39"/>
      <c r="D50" s="39"/>
    </row>
    <row r="51" spans="1:4" x14ac:dyDescent="0.25">
      <c r="A51" s="39"/>
      <c r="B51" s="39"/>
      <c r="C51" s="39"/>
      <c r="D51" s="39"/>
    </row>
    <row r="52" spans="1:4" x14ac:dyDescent="0.25">
      <c r="A52" s="39"/>
      <c r="B52" s="39"/>
      <c r="C52" s="39"/>
      <c r="D52" s="39"/>
    </row>
    <row r="53" spans="1:4" x14ac:dyDescent="0.25">
      <c r="A53" s="39"/>
      <c r="B53" s="39"/>
      <c r="C53" s="39"/>
      <c r="D53" s="39"/>
    </row>
  </sheetData>
  <sheetProtection algorithmName="SHA-512" hashValue="iTDjZYVufYLwFY8UDjj90QKR09o0wXvhZL5bQyBD6CpFspmdEL+B5LijYGLLBuwawBqc0KRWsxs2ShbZ6quXqw==" saltValue="TF2Vz+7wyuif8cQw3HpVV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 defaultRowHeight="15" x14ac:dyDescent="0.25"/>
  <cols>
    <col min="1" max="1" width="5" style="2" customWidth="1"/>
    <col min="2" max="2" width="51.5703125" style="2" customWidth="1"/>
    <col min="3" max="3" width="15.7109375" style="2" customWidth="1"/>
    <col min="4" max="4" width="3.28515625" style="2" customWidth="1"/>
    <col min="5" max="5" width="7.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6" t="s">
        <v>224</v>
      </c>
      <c r="C3" s="116"/>
      <c r="D3" s="116"/>
      <c r="E3" s="1"/>
    </row>
    <row r="4" spans="1:5" ht="15" customHeight="1" x14ac:dyDescent="0.25">
      <c r="A4" s="1"/>
      <c r="B4" s="116"/>
      <c r="C4" s="116"/>
      <c r="D4" s="116"/>
      <c r="E4" s="1"/>
    </row>
    <row r="5" spans="1:5" x14ac:dyDescent="0.25">
      <c r="A5" s="1"/>
      <c r="B5" s="120"/>
      <c r="C5" s="120"/>
      <c r="D5" s="120"/>
      <c r="E5" s="1"/>
    </row>
    <row r="6" spans="1:5" x14ac:dyDescent="0.25">
      <c r="A6" s="1"/>
      <c r="B6" s="1"/>
      <c r="C6" s="1"/>
      <c r="D6" s="1"/>
      <c r="E6" s="1"/>
    </row>
    <row r="7" spans="1:5" x14ac:dyDescent="0.25">
      <c r="A7" s="1"/>
      <c r="B7" s="1"/>
      <c r="C7" s="1"/>
      <c r="D7" s="1"/>
      <c r="E7" s="1"/>
    </row>
    <row r="8" spans="1:5" x14ac:dyDescent="0.25">
      <c r="A8" s="1"/>
      <c r="B8" s="30" t="s">
        <v>13</v>
      </c>
      <c r="C8" s="31"/>
      <c r="D8" s="19"/>
      <c r="E8" s="1"/>
    </row>
    <row r="9" spans="1:5" ht="15" customHeight="1" x14ac:dyDescent="0.25">
      <c r="A9" s="1"/>
      <c r="B9" s="67" t="s">
        <v>122</v>
      </c>
      <c r="C9" s="7">
        <f>'Fane 2.1. Økonomisk ramme 2024'!C20</f>
        <v>207068738.55583501</v>
      </c>
      <c r="D9" s="8" t="s">
        <v>3</v>
      </c>
      <c r="E9" s="1"/>
    </row>
    <row r="10" spans="1:5" ht="15" customHeight="1" x14ac:dyDescent="0.25">
      <c r="A10" s="1"/>
      <c r="B10" s="68" t="s">
        <v>19</v>
      </c>
      <c r="C10" s="7">
        <f>SUM(C9:C9)*'Fane 15. Nøgletal'!C16</f>
        <v>16731154.075311469</v>
      </c>
      <c r="D10" s="8" t="s">
        <v>3</v>
      </c>
      <c r="E10" s="1"/>
    </row>
    <row r="11" spans="1:5" ht="15" customHeight="1" x14ac:dyDescent="0.25">
      <c r="A11" s="1"/>
      <c r="B11" s="68" t="s">
        <v>10</v>
      </c>
      <c r="C11" s="9">
        <f>-SUM(C9:C10)*'Fane 5. Individuelt eff. krav'!G9</f>
        <v>0</v>
      </c>
      <c r="D11" s="8" t="s">
        <v>3</v>
      </c>
      <c r="E11" s="1"/>
    </row>
    <row r="12" spans="1:5" ht="15" customHeight="1" x14ac:dyDescent="0.25">
      <c r="A12" s="1"/>
      <c r="B12" s="68" t="s">
        <v>24</v>
      </c>
      <c r="C12" s="9">
        <f>-'Fane 4.1. Gen. krav - drift'!G60</f>
        <v>-1571835.75236013</v>
      </c>
      <c r="D12" s="8" t="s">
        <v>3</v>
      </c>
      <c r="E12" s="1"/>
    </row>
    <row r="13" spans="1:5" ht="15" customHeight="1" x14ac:dyDescent="0.25">
      <c r="A13" s="1"/>
      <c r="B13" s="68" t="s">
        <v>25</v>
      </c>
      <c r="C13" s="9">
        <f>-'Fane 4.2. Gen. krav - anlæg'!G58</f>
        <v>0</v>
      </c>
      <c r="D13" s="8" t="s">
        <v>3</v>
      </c>
      <c r="E13" s="1"/>
    </row>
    <row r="14" spans="1:5" ht="15" customHeight="1" x14ac:dyDescent="0.25">
      <c r="A14" s="1"/>
      <c r="B14" s="33" t="s">
        <v>21</v>
      </c>
      <c r="C14" s="10">
        <f>SUM(C9:C13)</f>
        <v>222228056.87878636</v>
      </c>
      <c r="D14" s="11" t="s">
        <v>3</v>
      </c>
      <c r="E14" s="1"/>
    </row>
    <row r="15" spans="1:5" ht="15" customHeight="1" x14ac:dyDescent="0.25">
      <c r="A15" s="1"/>
      <c r="B15" s="30" t="s">
        <v>12</v>
      </c>
      <c r="C15" s="31"/>
      <c r="D15" s="19"/>
      <c r="E15" s="1"/>
    </row>
    <row r="16" spans="1:5" ht="15" customHeight="1" x14ac:dyDescent="0.25">
      <c r="A16" s="1"/>
      <c r="B16" s="95" t="s">
        <v>12</v>
      </c>
      <c r="C16" s="10">
        <f>'Fane 6. Ikke-påvirkelige omk.'!C19*(1+'Fane 15. Nøgletal'!C16)+'Fane 6. Ikke-påvirkelige omk.'!C24+'Fane 6. Ikke-påvirkelige omk.'!C32</f>
        <v>11266385.280297171</v>
      </c>
      <c r="D16" s="11" t="s">
        <v>3</v>
      </c>
      <c r="E16" s="1"/>
    </row>
    <row r="17" spans="1:5" ht="15" customHeight="1" x14ac:dyDescent="0.25">
      <c r="A17" s="1"/>
      <c r="B17" s="30" t="s">
        <v>70</v>
      </c>
      <c r="C17" s="31"/>
      <c r="D17" s="19"/>
      <c r="E17" s="1"/>
    </row>
    <row r="18" spans="1:5" ht="15" customHeight="1" x14ac:dyDescent="0.25">
      <c r="A18" s="1"/>
      <c r="B18" s="87" t="s">
        <v>70</v>
      </c>
      <c r="C18" s="10">
        <f>'Fane 12. Periodevise driftsomk.'!E19</f>
        <v>0</v>
      </c>
      <c r="D18" s="11" t="s">
        <v>3</v>
      </c>
      <c r="E18" s="1"/>
    </row>
    <row r="19" spans="1:5" ht="15" customHeight="1" x14ac:dyDescent="0.25">
      <c r="A19" s="1"/>
      <c r="B19" s="30" t="s">
        <v>120</v>
      </c>
      <c r="C19" s="31"/>
      <c r="D19" s="19"/>
      <c r="E19" s="1"/>
    </row>
    <row r="20" spans="1:5" ht="15" customHeight="1" x14ac:dyDescent="0.25">
      <c r="A20" s="1"/>
      <c r="B20" s="95" t="s">
        <v>163</v>
      </c>
      <c r="C20" s="10">
        <f>'Fane 7. Kontrol af ØR2022'!E32</f>
        <v>-1719500.2418318838</v>
      </c>
      <c r="D20" s="11" t="s">
        <v>3</v>
      </c>
      <c r="E20" s="1"/>
    </row>
    <row r="21" spans="1:5" x14ac:dyDescent="0.25">
      <c r="A21" s="1"/>
      <c r="B21" s="32" t="s">
        <v>155</v>
      </c>
      <c r="C21" s="31"/>
      <c r="D21" s="19"/>
      <c r="E21" s="1"/>
    </row>
    <row r="22" spans="1:5" x14ac:dyDescent="0.25">
      <c r="A22" s="1"/>
      <c r="B22" s="69" t="s">
        <v>156</v>
      </c>
      <c r="C22" s="10">
        <f>'Fane 8. Skattesagen'!G14</f>
        <v>0</v>
      </c>
      <c r="D22" s="11" t="s">
        <v>3</v>
      </c>
      <c r="E22" s="1"/>
    </row>
    <row r="23" spans="1:5" ht="15" customHeight="1" x14ac:dyDescent="0.25">
      <c r="A23" s="1"/>
      <c r="B23" s="30" t="s">
        <v>123</v>
      </c>
      <c r="C23" s="12">
        <f>SUM(C14,C16,C18,C20,C22)</f>
        <v>231774941.91725165</v>
      </c>
      <c r="D23" s="13" t="s">
        <v>3</v>
      </c>
      <c r="E23" s="1"/>
    </row>
    <row r="24" spans="1:5" ht="15" customHeight="1"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c4YFFtxjzipcckEG6vQuuwOkXtG9/8yEbUBjKsLWgUWQtjoZVEBLiEJ60NAsxsnGsISCIi4BNdkF2W5BuW2dJQ==" saltValue="Kp7j4kGtjx8+00RNZXTFp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91" zoomScaleNormal="100" zoomScalePageLayoutView="91" workbookViewId="0"/>
  </sheetViews>
  <sheetFormatPr defaultColWidth="9" defaultRowHeight="15" x14ac:dyDescent="0.25"/>
  <cols>
    <col min="1" max="1" width="5" style="2" customWidth="1"/>
    <col min="2" max="2" width="53.5703125" style="2" customWidth="1"/>
    <col min="3" max="3" width="11.57031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6" t="s">
        <v>249</v>
      </c>
      <c r="C3" s="116"/>
      <c r="D3" s="116"/>
      <c r="E3" s="1"/>
    </row>
    <row r="4" spans="1:5" ht="15" customHeight="1" x14ac:dyDescent="0.25">
      <c r="A4" s="1"/>
      <c r="B4" s="116"/>
      <c r="C4" s="116"/>
      <c r="D4" s="116"/>
      <c r="E4" s="1"/>
    </row>
    <row r="5" spans="1:5" x14ac:dyDescent="0.25">
      <c r="A5" s="1"/>
      <c r="B5" s="120" t="s">
        <v>22</v>
      </c>
      <c r="C5" s="120"/>
      <c r="D5" s="120"/>
      <c r="E5" s="1"/>
    </row>
    <row r="6" spans="1:5" x14ac:dyDescent="0.25">
      <c r="A6" s="1"/>
      <c r="B6" s="1"/>
      <c r="C6" s="1"/>
      <c r="D6" s="1"/>
      <c r="E6" s="1"/>
    </row>
    <row r="7" spans="1:5" x14ac:dyDescent="0.25">
      <c r="A7" s="1"/>
      <c r="B7" s="30" t="s">
        <v>13</v>
      </c>
      <c r="C7" s="31"/>
      <c r="D7" s="19"/>
      <c r="E7" s="1"/>
    </row>
    <row r="8" spans="1:5" ht="15" customHeight="1" x14ac:dyDescent="0.25">
      <c r="A8" s="1"/>
      <c r="B8" s="67" t="s">
        <v>164</v>
      </c>
      <c r="C8" s="7">
        <f>'Fane 2.2. Økonomisk ramme 2025'!C14</f>
        <v>222228056.87878636</v>
      </c>
      <c r="D8" s="8" t="s">
        <v>3</v>
      </c>
      <c r="E8" s="1"/>
    </row>
    <row r="9" spans="1:5" ht="15" customHeight="1" x14ac:dyDescent="0.25">
      <c r="A9" s="1"/>
      <c r="B9" s="68" t="s">
        <v>19</v>
      </c>
      <c r="C9" s="40">
        <f>SUM(C8:C8)*'Fane 15. Nøgletal'!C16</f>
        <v>17956026.995805938</v>
      </c>
      <c r="D9" s="8" t="s">
        <v>3</v>
      </c>
      <c r="E9" s="1"/>
    </row>
    <row r="10" spans="1:5" ht="15" customHeight="1" x14ac:dyDescent="0.25">
      <c r="A10" s="1"/>
      <c r="B10" s="68" t="s">
        <v>10</v>
      </c>
      <c r="C10" s="9">
        <f>-SUM(C8:C9)*'Fane 5. Individuelt eff. krav'!G9</f>
        <v>0</v>
      </c>
      <c r="D10" s="8" t="s">
        <v>3</v>
      </c>
      <c r="E10" s="1"/>
    </row>
    <row r="11" spans="1:5" ht="15" customHeight="1" x14ac:dyDescent="0.25">
      <c r="A11" s="1"/>
      <c r="B11" s="68" t="s">
        <v>24</v>
      </c>
      <c r="C11" s="9">
        <f>-'Fane 4.1. Gen. krav - drift'!G65</f>
        <v>-1664863.2795278118</v>
      </c>
      <c r="D11" s="8" t="s">
        <v>3</v>
      </c>
      <c r="E11" s="1"/>
    </row>
    <row r="12" spans="1:5" ht="15" customHeight="1" x14ac:dyDescent="0.25">
      <c r="A12" s="1"/>
      <c r="B12" s="68" t="s">
        <v>25</v>
      </c>
      <c r="C12" s="9">
        <f>-'Fane 4.2. Gen. krav - anlæg'!G63</f>
        <v>0</v>
      </c>
      <c r="D12" s="8" t="s">
        <v>3</v>
      </c>
      <c r="E12" s="1"/>
    </row>
    <row r="13" spans="1:5" ht="15.75" customHeight="1" x14ac:dyDescent="0.25">
      <c r="A13" s="1"/>
      <c r="B13" s="33" t="s">
        <v>21</v>
      </c>
      <c r="C13" s="10">
        <f>SUM(C8:C12)</f>
        <v>238519220.59506449</v>
      </c>
      <c r="D13" s="11" t="s">
        <v>3</v>
      </c>
      <c r="E13" s="1"/>
    </row>
    <row r="14" spans="1:5" x14ac:dyDescent="0.25">
      <c r="A14" s="1"/>
      <c r="B14" s="30" t="s">
        <v>12</v>
      </c>
      <c r="C14" s="31"/>
      <c r="D14" s="19"/>
      <c r="E14" s="1"/>
    </row>
    <row r="15" spans="1:5" ht="15" customHeight="1" x14ac:dyDescent="0.25">
      <c r="A15" s="1"/>
      <c r="B15" s="95" t="s">
        <v>12</v>
      </c>
      <c r="C15" s="10">
        <f>'Fane 6. Ikke-påvirkelige omk.'!C19*(1+'Fane 15. Nøgletal'!C16)^2+'Fane 6. Ikke-påvirkelige omk.'!C25+'Fane 6. Ikke-påvirkelige omk.'!C33</f>
        <v>11992128.778145181</v>
      </c>
      <c r="D15" s="11" t="s">
        <v>3</v>
      </c>
      <c r="E15" s="1"/>
    </row>
    <row r="16" spans="1:5" ht="15" customHeight="1" x14ac:dyDescent="0.25">
      <c r="A16" s="1"/>
      <c r="B16" s="30" t="s">
        <v>70</v>
      </c>
      <c r="C16" s="31"/>
      <c r="D16" s="19"/>
      <c r="E16" s="1"/>
    </row>
    <row r="17" spans="1:5" ht="15" customHeight="1" x14ac:dyDescent="0.25">
      <c r="A17" s="1"/>
      <c r="B17" s="87" t="s">
        <v>70</v>
      </c>
      <c r="C17" s="10">
        <f>'Fane 12. Periodevise driftsomk.'!E25</f>
        <v>0</v>
      </c>
      <c r="D17" s="11" t="s">
        <v>3</v>
      </c>
      <c r="E17" s="1"/>
    </row>
    <row r="18" spans="1:5" ht="15" customHeight="1" x14ac:dyDescent="0.25">
      <c r="A18" s="1"/>
      <c r="B18" s="30" t="s">
        <v>120</v>
      </c>
      <c r="C18" s="31"/>
      <c r="D18" s="19"/>
      <c r="E18" s="1"/>
    </row>
    <row r="19" spans="1:5" ht="15" customHeight="1" x14ac:dyDescent="0.25">
      <c r="A19" s="1"/>
      <c r="B19" s="95" t="s">
        <v>163</v>
      </c>
      <c r="C19" s="10">
        <v>0</v>
      </c>
      <c r="D19" s="11" t="s">
        <v>3</v>
      </c>
      <c r="E19" s="1"/>
    </row>
    <row r="20" spans="1:5" x14ac:dyDescent="0.25">
      <c r="A20" s="1"/>
      <c r="B20" s="32" t="s">
        <v>155</v>
      </c>
      <c r="C20" s="31"/>
      <c r="D20" s="19"/>
      <c r="E20" s="1"/>
    </row>
    <row r="21" spans="1:5" x14ac:dyDescent="0.25">
      <c r="A21" s="1"/>
      <c r="B21" s="69" t="s">
        <v>156</v>
      </c>
      <c r="C21" s="10">
        <f>'Fane 8. Skattesagen'!G15</f>
        <v>0</v>
      </c>
      <c r="D21" s="11" t="s">
        <v>3</v>
      </c>
      <c r="E21" s="1"/>
    </row>
    <row r="22" spans="1:5" x14ac:dyDescent="0.25">
      <c r="A22" s="1"/>
      <c r="B22" s="30" t="s">
        <v>165</v>
      </c>
      <c r="C22" s="12">
        <f>SUM(C13,C15,C17,C19,C21)</f>
        <v>250511349.37320969</v>
      </c>
      <c r="D22" s="13" t="s">
        <v>3</v>
      </c>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SGJ69GTWKAdx2usQLvwe07A0HqFQPJzk2mngWyi0cjB4CniCgMENWPQrsQXcN6GYD6aRjUuqY3t7MQL5mvZTUA==" saltValue="cWM1ML4SvRAgv2EmfTpZ+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 defaultRowHeight="15" x14ac:dyDescent="0.25"/>
  <cols>
    <col min="1" max="1" width="9.5703125" style="2" customWidth="1"/>
    <col min="2" max="2" width="52.28515625" style="2" customWidth="1"/>
    <col min="3" max="3" width="10.85546875" style="2" bestFit="1" customWidth="1"/>
    <col min="4" max="4" width="3.28515625" style="2" customWidth="1"/>
    <col min="5" max="5" width="9.57031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6" t="s">
        <v>248</v>
      </c>
      <c r="C3" s="116"/>
      <c r="D3" s="116"/>
      <c r="E3" s="1"/>
    </row>
    <row r="4" spans="1:5" ht="15" customHeight="1" x14ac:dyDescent="0.25">
      <c r="A4" s="1"/>
      <c r="B4" s="116"/>
      <c r="C4" s="116"/>
      <c r="D4" s="116"/>
      <c r="E4" s="1"/>
    </row>
    <row r="5" spans="1:5" x14ac:dyDescent="0.25">
      <c r="A5" s="1"/>
      <c r="B5" s="120" t="s">
        <v>22</v>
      </c>
      <c r="C5" s="120"/>
      <c r="D5" s="120"/>
      <c r="E5" s="1"/>
    </row>
    <row r="6" spans="1:5" x14ac:dyDescent="0.25">
      <c r="A6" s="1"/>
      <c r="B6" s="1"/>
      <c r="C6" s="1"/>
      <c r="D6" s="1"/>
      <c r="E6" s="1"/>
    </row>
    <row r="7" spans="1:5" x14ac:dyDescent="0.25">
      <c r="A7" s="1"/>
      <c r="B7" s="30" t="s">
        <v>13</v>
      </c>
      <c r="C7" s="31"/>
      <c r="D7" s="19"/>
      <c r="E7" s="1"/>
    </row>
    <row r="8" spans="1:5" ht="15" customHeight="1" x14ac:dyDescent="0.25">
      <c r="A8" s="1"/>
      <c r="B8" s="67" t="s">
        <v>251</v>
      </c>
      <c r="C8" s="7">
        <f>'Fane 2.3. Økonomisk ramme 2026'!C13</f>
        <v>238519220.59506449</v>
      </c>
      <c r="D8" s="8" t="s">
        <v>3</v>
      </c>
      <c r="E8" s="1"/>
    </row>
    <row r="9" spans="1:5" ht="15" customHeight="1" x14ac:dyDescent="0.25">
      <c r="A9" s="1"/>
      <c r="B9" s="68" t="s">
        <v>19</v>
      </c>
      <c r="C9" s="40">
        <f>SUM(C8:C8)*'Fane 15. Nøgletal'!C16</f>
        <v>19272353.024081212</v>
      </c>
      <c r="D9" s="8" t="s">
        <v>3</v>
      </c>
      <c r="E9" s="1"/>
    </row>
    <row r="10" spans="1:5" ht="15" customHeight="1" x14ac:dyDescent="0.25">
      <c r="A10" s="1"/>
      <c r="B10" s="68" t="s">
        <v>10</v>
      </c>
      <c r="C10" s="9">
        <f>-SUM(C8:C9)*'Fane 5. Individuelt eff. krav'!G9</f>
        <v>0</v>
      </c>
      <c r="D10" s="8" t="s">
        <v>3</v>
      </c>
      <c r="E10" s="1"/>
    </row>
    <row r="11" spans="1:5" ht="15" customHeight="1" x14ac:dyDescent="0.25">
      <c r="A11" s="1"/>
      <c r="B11" s="68" t="s">
        <v>24</v>
      </c>
      <c r="C11" s="9">
        <f>-'Fane 4.1. Gen. krav - drift'!G70</f>
        <v>-1763396.5478633856</v>
      </c>
      <c r="D11" s="8" t="s">
        <v>3</v>
      </c>
      <c r="E11" s="1"/>
    </row>
    <row r="12" spans="1:5" ht="15" customHeight="1" x14ac:dyDescent="0.25">
      <c r="A12" s="1"/>
      <c r="B12" s="68" t="s">
        <v>25</v>
      </c>
      <c r="C12" s="9">
        <f>-'Fane 4.2. Gen. krav - anlæg'!G68</f>
        <v>0</v>
      </c>
      <c r="D12" s="8" t="s">
        <v>3</v>
      </c>
      <c r="E12" s="1"/>
    </row>
    <row r="13" spans="1:5" ht="15.75" customHeight="1" x14ac:dyDescent="0.25">
      <c r="A13" s="1"/>
      <c r="B13" s="33" t="s">
        <v>21</v>
      </c>
      <c r="C13" s="10">
        <f>SUM(C8:C12)</f>
        <v>256028177.0712823</v>
      </c>
      <c r="D13" s="11" t="s">
        <v>3</v>
      </c>
      <c r="E13" s="1"/>
    </row>
    <row r="14" spans="1:5" x14ac:dyDescent="0.25">
      <c r="A14" s="1"/>
      <c r="B14" s="30" t="s">
        <v>12</v>
      </c>
      <c r="C14" s="31"/>
      <c r="D14" s="19"/>
      <c r="E14" s="1"/>
    </row>
    <row r="15" spans="1:5" ht="15" customHeight="1" x14ac:dyDescent="0.25">
      <c r="A15" s="1"/>
      <c r="B15" s="95" t="s">
        <v>12</v>
      </c>
      <c r="C15" s="10">
        <f>'Fane 6. Ikke-påvirkelige omk.'!C19*(1+'Fane 15. Nøgletal'!C16)^3+'Fane 6. Ikke-påvirkelige omk.'!C26+'Fane 6. Ikke-påvirkelige omk.'!C34</f>
        <v>12775845.893819312</v>
      </c>
      <c r="D15" s="11" t="s">
        <v>3</v>
      </c>
      <c r="E15" s="1"/>
    </row>
    <row r="16" spans="1:5" ht="15" customHeight="1" x14ac:dyDescent="0.25">
      <c r="A16" s="1"/>
      <c r="B16" s="30" t="s">
        <v>70</v>
      </c>
      <c r="C16" s="31"/>
      <c r="D16" s="19"/>
      <c r="E16" s="1"/>
    </row>
    <row r="17" spans="1:5" ht="15" customHeight="1" x14ac:dyDescent="0.25">
      <c r="A17" s="1"/>
      <c r="B17" s="87" t="s">
        <v>70</v>
      </c>
      <c r="C17" s="10">
        <f>'Fane 12. Periodevise driftsomk.'!E31</f>
        <v>0</v>
      </c>
      <c r="D17" s="11" t="s">
        <v>3</v>
      </c>
      <c r="E17" s="1"/>
    </row>
    <row r="18" spans="1:5" ht="15" customHeight="1" x14ac:dyDescent="0.25">
      <c r="A18" s="1"/>
      <c r="B18" s="30" t="s">
        <v>120</v>
      </c>
      <c r="C18" s="31"/>
      <c r="D18" s="19"/>
      <c r="E18" s="1"/>
    </row>
    <row r="19" spans="1:5" ht="15" customHeight="1" x14ac:dyDescent="0.25">
      <c r="A19" s="1"/>
      <c r="B19" s="95" t="s">
        <v>163</v>
      </c>
      <c r="C19" s="10">
        <v>0</v>
      </c>
      <c r="D19" s="11" t="s">
        <v>3</v>
      </c>
      <c r="E19" s="1"/>
    </row>
    <row r="20" spans="1:5" ht="15" customHeight="1" x14ac:dyDescent="0.25">
      <c r="A20" s="1"/>
      <c r="B20" s="32" t="s">
        <v>155</v>
      </c>
      <c r="C20" s="31"/>
      <c r="D20" s="19"/>
      <c r="E20" s="1"/>
    </row>
    <row r="21" spans="1:5" ht="15" customHeight="1" x14ac:dyDescent="0.25">
      <c r="A21" s="1"/>
      <c r="B21" s="69" t="s">
        <v>156</v>
      </c>
      <c r="C21" s="10">
        <f>'Fane 8. Skattesagen'!G16</f>
        <v>0</v>
      </c>
      <c r="D21" s="11" t="s">
        <v>3</v>
      </c>
      <c r="E21" s="1"/>
    </row>
    <row r="22" spans="1:5" ht="15" customHeight="1" x14ac:dyDescent="0.25">
      <c r="A22" s="1"/>
      <c r="B22" s="30" t="s">
        <v>252</v>
      </c>
      <c r="C22" s="12">
        <f>SUM(C13,C15,C17,C19,C21)</f>
        <v>268804022.9651016</v>
      </c>
      <c r="D22" s="13" t="s">
        <v>3</v>
      </c>
      <c r="E22" s="1"/>
    </row>
    <row r="23" spans="1:5" ht="15" customHeight="1"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nebbLYF+EXuP3YxmBWpp1z49TcrWDbKTKSm3G3wRFCQ1izlbEd/pslgGg3v6aJi1inNsTP/mVj+xr1XiGkzJPw==" saltValue="RsBbRpgOFFVSG+G+pbfg8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view="pageLayout" zoomScale="90" zoomScaleNormal="100" zoomScalePageLayoutView="90"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24.95" customHeight="1" x14ac:dyDescent="0.25">
      <c r="A3" s="1"/>
      <c r="B3" s="122" t="s">
        <v>239</v>
      </c>
      <c r="C3" s="122"/>
      <c r="D3" s="122"/>
      <c r="E3" s="1"/>
    </row>
    <row r="4" spans="1:5" x14ac:dyDescent="0.25">
      <c r="A4" s="1"/>
      <c r="B4" s="122"/>
      <c r="C4" s="122"/>
      <c r="D4" s="12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0" t="s">
        <v>240</v>
      </c>
      <c r="C8" s="31"/>
      <c r="D8" s="19"/>
      <c r="E8" s="1"/>
    </row>
    <row r="9" spans="1:5" x14ac:dyDescent="0.25">
      <c r="A9" s="1"/>
      <c r="B9" s="67" t="s">
        <v>241</v>
      </c>
      <c r="C9" s="7">
        <v>189874829.14173239</v>
      </c>
      <c r="D9" s="8" t="s">
        <v>3</v>
      </c>
      <c r="E9" s="1"/>
    </row>
    <row r="10" spans="1:5" x14ac:dyDescent="0.25">
      <c r="A10" s="1"/>
      <c r="B10" s="68" t="s">
        <v>271</v>
      </c>
      <c r="C10" s="7">
        <v>1497049.1161902568</v>
      </c>
      <c r="D10" s="8" t="s">
        <v>3</v>
      </c>
      <c r="E10" s="1"/>
    </row>
    <row r="11" spans="1:5" x14ac:dyDescent="0.25">
      <c r="A11" s="1"/>
      <c r="B11" s="68" t="s">
        <v>272</v>
      </c>
      <c r="C11" s="7">
        <v>539945.87503877084</v>
      </c>
      <c r="D11" s="8" t="s">
        <v>3</v>
      </c>
      <c r="E11" s="1"/>
    </row>
    <row r="12" spans="1:5" x14ac:dyDescent="0.25">
      <c r="A12" s="1"/>
      <c r="B12" s="94" t="s">
        <v>37</v>
      </c>
      <c r="C12" s="36">
        <v>2017138.5732000002</v>
      </c>
      <c r="D12" s="8" t="s">
        <v>3</v>
      </c>
      <c r="E12" s="1"/>
    </row>
    <row r="13" spans="1:5" x14ac:dyDescent="0.25">
      <c r="A13" s="1"/>
      <c r="B13" s="94" t="s">
        <v>38</v>
      </c>
      <c r="C13" s="36">
        <v>2274993.6528000003</v>
      </c>
      <c r="D13" s="8" t="s">
        <v>3</v>
      </c>
      <c r="E13" s="1"/>
    </row>
    <row r="14" spans="1:5" x14ac:dyDescent="0.25">
      <c r="A14" s="1"/>
      <c r="B14" s="94" t="s">
        <v>27</v>
      </c>
      <c r="C14" s="9">
        <v>0</v>
      </c>
      <c r="D14" s="8" t="s">
        <v>3</v>
      </c>
      <c r="E14" s="1"/>
    </row>
    <row r="15" spans="1:5" x14ac:dyDescent="0.25">
      <c r="A15" s="1"/>
      <c r="B15" s="94" t="s">
        <v>26</v>
      </c>
      <c r="C15" s="9">
        <v>0</v>
      </c>
      <c r="D15" s="8" t="s">
        <v>3</v>
      </c>
      <c r="E15" s="1"/>
    </row>
    <row r="16" spans="1:5" x14ac:dyDescent="0.25">
      <c r="A16" s="1"/>
      <c r="B16" s="94" t="s">
        <v>104</v>
      </c>
      <c r="C16" s="9">
        <v>0</v>
      </c>
      <c r="D16" s="8" t="s">
        <v>3</v>
      </c>
      <c r="E16" s="1"/>
    </row>
    <row r="17" spans="1:5" x14ac:dyDescent="0.25">
      <c r="A17" s="1"/>
      <c r="B17" s="94" t="s">
        <v>105</v>
      </c>
      <c r="C17" s="9">
        <v>0</v>
      </c>
      <c r="D17" s="8" t="s">
        <v>3</v>
      </c>
      <c r="E17" s="1"/>
    </row>
    <row r="18" spans="1:5" x14ac:dyDescent="0.25">
      <c r="A18" s="1"/>
      <c r="B18" s="94" t="s">
        <v>19</v>
      </c>
      <c r="C18" s="9">
        <v>779386.84341331688</v>
      </c>
      <c r="D18" s="8" t="s">
        <v>3</v>
      </c>
      <c r="E18" s="1"/>
    </row>
    <row r="19" spans="1:5" x14ac:dyDescent="0.25">
      <c r="A19" s="1"/>
      <c r="B19" s="94" t="s">
        <v>10</v>
      </c>
      <c r="C19" s="9">
        <v>-2115978.8110972103</v>
      </c>
      <c r="D19" s="8" t="s">
        <v>3</v>
      </c>
      <c r="E19" s="1"/>
    </row>
    <row r="20" spans="1:5" x14ac:dyDescent="0.25">
      <c r="A20" s="1"/>
      <c r="B20" s="94" t="s">
        <v>24</v>
      </c>
      <c r="C20" s="9">
        <v>-1374893.5527787968</v>
      </c>
      <c r="D20" s="8" t="s">
        <v>3</v>
      </c>
      <c r="E20" s="38"/>
    </row>
    <row r="21" spans="1:5" x14ac:dyDescent="0.25">
      <c r="A21" s="1"/>
      <c r="B21" s="94" t="s">
        <v>25</v>
      </c>
      <c r="C21" s="9">
        <v>-1874492.2981608198</v>
      </c>
      <c r="D21" s="8" t="s">
        <v>3</v>
      </c>
      <c r="E21" s="1"/>
    </row>
    <row r="22" spans="1:5" x14ac:dyDescent="0.25">
      <c r="A22" s="1"/>
      <c r="B22" s="87" t="s">
        <v>21</v>
      </c>
      <c r="C22" s="10">
        <v>189580983.54910886</v>
      </c>
      <c r="D22" s="11" t="s">
        <v>3</v>
      </c>
      <c r="E22" s="1"/>
    </row>
    <row r="23" spans="1:5" x14ac:dyDescent="0.25">
      <c r="A23" s="1"/>
      <c r="B23" s="30" t="s">
        <v>12</v>
      </c>
      <c r="C23" s="31"/>
      <c r="D23" s="19"/>
      <c r="E23" s="1"/>
    </row>
    <row r="24" spans="1:5" x14ac:dyDescent="0.25">
      <c r="A24" s="1"/>
      <c r="B24" s="95" t="s">
        <v>12</v>
      </c>
      <c r="C24" s="10">
        <v>9519925.1974369604</v>
      </c>
      <c r="D24" s="11" t="s">
        <v>3</v>
      </c>
      <c r="E24" s="1"/>
    </row>
    <row r="25" spans="1:5" x14ac:dyDescent="0.25">
      <c r="A25" s="1"/>
      <c r="B25" s="30" t="s">
        <v>70</v>
      </c>
      <c r="C25" s="31"/>
      <c r="D25" s="19"/>
      <c r="E25" s="1"/>
    </row>
    <row r="26" spans="1:5" x14ac:dyDescent="0.25">
      <c r="A26" s="1"/>
      <c r="B26" s="87" t="s">
        <v>70</v>
      </c>
      <c r="C26" s="10">
        <v>0</v>
      </c>
      <c r="D26" s="11" t="s">
        <v>3</v>
      </c>
      <c r="E26" s="1"/>
    </row>
    <row r="27" spans="1:5" x14ac:dyDescent="0.25">
      <c r="A27" s="1"/>
      <c r="B27" s="30" t="s">
        <v>69</v>
      </c>
      <c r="C27" s="31"/>
      <c r="D27" s="19"/>
      <c r="E27" s="1"/>
    </row>
    <row r="28" spans="1:5" x14ac:dyDescent="0.25">
      <c r="A28" s="1"/>
      <c r="B28" s="94" t="s">
        <v>65</v>
      </c>
      <c r="C28" s="9">
        <v>0</v>
      </c>
      <c r="D28" s="8" t="s">
        <v>3</v>
      </c>
      <c r="E28" s="1"/>
    </row>
    <row r="29" spans="1:5" x14ac:dyDescent="0.25">
      <c r="A29" s="1"/>
      <c r="B29" s="94" t="s">
        <v>66</v>
      </c>
      <c r="C29" s="9">
        <v>0</v>
      </c>
      <c r="D29" s="8" t="s">
        <v>3</v>
      </c>
      <c r="E29" s="1"/>
    </row>
    <row r="30" spans="1:5" x14ac:dyDescent="0.25">
      <c r="A30" s="1"/>
      <c r="B30" s="94" t="s">
        <v>185</v>
      </c>
      <c r="C30" s="9">
        <v>0</v>
      </c>
      <c r="D30" s="8" t="s">
        <v>3</v>
      </c>
      <c r="E30" s="1"/>
    </row>
    <row r="31" spans="1:5" x14ac:dyDescent="0.25">
      <c r="A31" s="1"/>
      <c r="B31" s="37" t="s">
        <v>186</v>
      </c>
      <c r="C31" s="9">
        <v>0</v>
      </c>
      <c r="D31" s="8" t="s">
        <v>3</v>
      </c>
      <c r="E31" s="1"/>
    </row>
    <row r="32" spans="1:5" x14ac:dyDescent="0.25">
      <c r="A32" s="1"/>
      <c r="B32" s="87" t="s">
        <v>71</v>
      </c>
      <c r="C32" s="10">
        <v>0</v>
      </c>
      <c r="D32" s="11" t="s">
        <v>3</v>
      </c>
      <c r="E32" s="1"/>
    </row>
    <row r="33" spans="1:5" x14ac:dyDescent="0.25">
      <c r="A33" s="1"/>
      <c r="B33" s="30" t="s">
        <v>273</v>
      </c>
      <c r="C33" s="31"/>
      <c r="D33" s="19"/>
      <c r="E33" s="1"/>
    </row>
    <row r="34" spans="1:5" x14ac:dyDescent="0.25">
      <c r="A34" s="1"/>
      <c r="B34" s="95" t="s">
        <v>273</v>
      </c>
      <c r="C34" s="10">
        <v>460990</v>
      </c>
      <c r="D34" s="11" t="s">
        <v>3</v>
      </c>
      <c r="E34" s="1"/>
    </row>
    <row r="35" spans="1:5" x14ac:dyDescent="0.25">
      <c r="A35" s="1"/>
      <c r="B35" s="30" t="s">
        <v>119</v>
      </c>
      <c r="C35" s="31"/>
      <c r="D35" s="19"/>
      <c r="E35" s="1"/>
    </row>
    <row r="36" spans="1:5" x14ac:dyDescent="0.25">
      <c r="A36" s="1"/>
      <c r="B36" s="95" t="s">
        <v>163</v>
      </c>
      <c r="C36" s="10">
        <v>-4385980.2242666036</v>
      </c>
      <c r="D36" s="11" t="s">
        <v>3</v>
      </c>
      <c r="E36" s="1"/>
    </row>
    <row r="37" spans="1:5" x14ac:dyDescent="0.25">
      <c r="A37" s="1"/>
      <c r="B37" s="117" t="s">
        <v>155</v>
      </c>
      <c r="C37" s="118"/>
      <c r="D37" s="119"/>
      <c r="E37" s="1"/>
    </row>
    <row r="38" spans="1:5" x14ac:dyDescent="0.25">
      <c r="A38" s="1"/>
      <c r="B38" s="69" t="s">
        <v>156</v>
      </c>
      <c r="C38" s="10">
        <v>0</v>
      </c>
      <c r="D38" s="11" t="s">
        <v>3</v>
      </c>
      <c r="E38" s="1"/>
    </row>
    <row r="39" spans="1:5" x14ac:dyDescent="0.25">
      <c r="A39" s="1"/>
      <c r="B39" s="30" t="s">
        <v>274</v>
      </c>
      <c r="C39" s="12">
        <v>195175918.5222792</v>
      </c>
      <c r="D39" s="13" t="s">
        <v>3</v>
      </c>
      <c r="E39" s="1"/>
    </row>
    <row r="40" spans="1:5" ht="30" customHeight="1" x14ac:dyDescent="0.25">
      <c r="A40" s="1"/>
      <c r="B40" s="121" t="s">
        <v>275</v>
      </c>
      <c r="C40" s="121"/>
      <c r="D40" s="12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39"/>
      <c r="B49" s="39"/>
      <c r="C49" s="39"/>
      <c r="D49" s="39"/>
      <c r="E49" s="39"/>
    </row>
    <row r="50" spans="1:5" x14ac:dyDescent="0.25">
      <c r="A50" s="39"/>
      <c r="B50" s="39"/>
      <c r="C50" s="39"/>
      <c r="D50" s="39"/>
    </row>
  </sheetData>
  <sheetProtection algorithmName="SHA-512" hashValue="qYkie/j7V7M9GO/HoUcsO9qlRJxltOj6TzM1iVpS2mhW26Ka2buqFUoqQAxOrrEX4osk4KULu/2zrMiPrUNDBg==" saltValue="IlfCPsM6Rvo9ytHtgIGC3g==" spinCount="100000" sheet="1" objects="1" scenarios="1"/>
  <mergeCells count="3">
    <mergeCell ref="B40:D40"/>
    <mergeCell ref="B3:D4"/>
    <mergeCell ref="B37:D3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73"/>
  <sheetViews>
    <sheetView showGridLines="0" view="pageLayout" zoomScaleNormal="100" workbookViewId="0"/>
  </sheetViews>
  <sheetFormatPr defaultColWidth="9" defaultRowHeight="15" x14ac:dyDescent="0.25"/>
  <cols>
    <col min="1" max="1" width="6" style="2" customWidth="1"/>
    <col min="2" max="5" width="9" style="2"/>
    <col min="6" max="6" width="21.42578125" style="2" customWidth="1"/>
    <col min="7" max="7" width="12.85546875" style="55" customWidth="1"/>
    <col min="8" max="8" width="4.42578125" style="2" customWidth="1"/>
    <col min="9" max="9" width="6.7109375" style="2" customWidth="1"/>
    <col min="10" max="16384" width="9" style="2"/>
  </cols>
  <sheetData>
    <row r="1" spans="1:9" ht="15" customHeight="1" x14ac:dyDescent="0.25">
      <c r="A1" s="1"/>
      <c r="B1" s="122" t="s">
        <v>90</v>
      </c>
      <c r="C1" s="122"/>
      <c r="D1" s="122"/>
      <c r="E1" s="122"/>
      <c r="F1" s="122"/>
      <c r="G1" s="122"/>
      <c r="H1" s="122"/>
      <c r="I1" s="1"/>
    </row>
    <row r="2" spans="1:9" ht="15" customHeight="1" x14ac:dyDescent="0.25">
      <c r="A2" s="1"/>
      <c r="B2" s="122"/>
      <c r="C2" s="122"/>
      <c r="D2" s="122"/>
      <c r="E2" s="122"/>
      <c r="F2" s="122"/>
      <c r="G2" s="122"/>
      <c r="H2" s="122"/>
      <c r="I2" s="1"/>
    </row>
    <row r="3" spans="1:9" ht="15" customHeight="1" x14ac:dyDescent="0.25">
      <c r="A3" s="1"/>
      <c r="B3" s="122"/>
      <c r="C3" s="122"/>
      <c r="D3" s="122"/>
      <c r="E3" s="122"/>
      <c r="F3" s="122"/>
      <c r="G3" s="122"/>
      <c r="H3" s="122"/>
      <c r="I3" s="1"/>
    </row>
    <row r="4" spans="1:9" x14ac:dyDescent="0.25">
      <c r="A4" s="1"/>
      <c r="B4" s="132" t="s">
        <v>132</v>
      </c>
      <c r="C4" s="133"/>
      <c r="D4" s="133"/>
      <c r="E4" s="133"/>
      <c r="F4" s="133"/>
      <c r="G4" s="133"/>
      <c r="H4" s="134"/>
      <c r="I4" s="1"/>
    </row>
    <row r="5" spans="1:9" x14ac:dyDescent="0.25">
      <c r="A5" s="1"/>
      <c r="B5" s="126" t="s">
        <v>133</v>
      </c>
      <c r="C5" s="127"/>
      <c r="D5" s="127"/>
      <c r="E5" s="127"/>
      <c r="F5" s="128"/>
      <c r="G5" s="57">
        <v>65863295.141847663</v>
      </c>
      <c r="H5" s="58" t="s">
        <v>3</v>
      </c>
      <c r="I5" s="1"/>
    </row>
    <row r="6" spans="1:9" ht="15" customHeight="1" x14ac:dyDescent="0.25">
      <c r="A6" s="1"/>
      <c r="B6" s="135" t="s">
        <v>134</v>
      </c>
      <c r="C6" s="136"/>
      <c r="D6" s="136"/>
      <c r="E6" s="136"/>
      <c r="F6" s="137"/>
      <c r="G6" s="71">
        <v>0</v>
      </c>
      <c r="H6" s="58" t="s">
        <v>3</v>
      </c>
      <c r="I6" s="1"/>
    </row>
    <row r="7" spans="1:9" x14ac:dyDescent="0.25">
      <c r="A7" s="1"/>
      <c r="B7" s="126" t="s">
        <v>135</v>
      </c>
      <c r="C7" s="127"/>
      <c r="D7" s="127"/>
      <c r="E7" s="127"/>
      <c r="F7" s="128"/>
      <c r="G7" s="57">
        <f>SUM(G5:G6)*'Fane 15. Nøgletal'!C33</f>
        <v>1317265.9028369533</v>
      </c>
      <c r="H7" s="58" t="s">
        <v>3</v>
      </c>
      <c r="I7" s="1"/>
    </row>
    <row r="8" spans="1:9" x14ac:dyDescent="0.25">
      <c r="A8" s="1"/>
      <c r="B8" s="59"/>
      <c r="C8" s="60"/>
      <c r="D8" s="60"/>
      <c r="E8" s="60"/>
      <c r="F8" s="60"/>
      <c r="G8" s="52"/>
      <c r="H8" s="61"/>
      <c r="I8" s="1"/>
    </row>
    <row r="9" spans="1:9" x14ac:dyDescent="0.25">
      <c r="A9" s="1"/>
      <c r="B9" s="62"/>
      <c r="C9" s="62"/>
      <c r="D9" s="62"/>
      <c r="E9" s="62"/>
      <c r="F9" s="62"/>
      <c r="G9" s="53"/>
      <c r="H9" s="62"/>
      <c r="I9" s="1"/>
    </row>
    <row r="10" spans="1:9" x14ac:dyDescent="0.25">
      <c r="A10" s="1"/>
      <c r="B10" s="129" t="s">
        <v>47</v>
      </c>
      <c r="C10" s="130"/>
      <c r="D10" s="130"/>
      <c r="E10" s="130"/>
      <c r="F10" s="130"/>
      <c r="G10" s="130"/>
      <c r="H10" s="131"/>
      <c r="I10" s="1"/>
    </row>
    <row r="11" spans="1:9" x14ac:dyDescent="0.25">
      <c r="A11" s="1"/>
      <c r="B11" s="126" t="s">
        <v>136</v>
      </c>
      <c r="C11" s="127"/>
      <c r="D11" s="127"/>
      <c r="E11" s="127"/>
      <c r="F11" s="128"/>
      <c r="G11" s="57">
        <f>(G5-G7)*(1+'Fane 15. Nøgletal'!C10)</f>
        <v>65675584.750693396</v>
      </c>
      <c r="H11" s="58" t="s">
        <v>3</v>
      </c>
      <c r="I11" s="1"/>
    </row>
    <row r="12" spans="1:9" x14ac:dyDescent="0.25">
      <c r="A12" s="1"/>
      <c r="B12" s="126" t="s">
        <v>101</v>
      </c>
      <c r="C12" s="127"/>
      <c r="D12" s="127"/>
      <c r="E12" s="127"/>
      <c r="F12" s="128"/>
      <c r="G12" s="71">
        <v>0</v>
      </c>
      <c r="H12" s="58" t="s">
        <v>3</v>
      </c>
      <c r="I12" s="1"/>
    </row>
    <row r="13" spans="1:9" x14ac:dyDescent="0.25">
      <c r="A13" s="1"/>
      <c r="B13" s="135" t="s">
        <v>99</v>
      </c>
      <c r="C13" s="136"/>
      <c r="D13" s="136"/>
      <c r="E13" s="136"/>
      <c r="F13" s="137"/>
      <c r="G13" s="71">
        <v>0</v>
      </c>
      <c r="H13" s="58" t="s">
        <v>3</v>
      </c>
      <c r="I13" s="1"/>
    </row>
    <row r="14" spans="1:9" x14ac:dyDescent="0.25">
      <c r="A14" s="1"/>
      <c r="B14" s="123" t="s">
        <v>137</v>
      </c>
      <c r="C14" s="124"/>
      <c r="D14" s="124"/>
      <c r="E14" s="124"/>
      <c r="F14" s="125"/>
      <c r="G14" s="71">
        <v>331991.65518750006</v>
      </c>
      <c r="H14" s="58" t="s">
        <v>3</v>
      </c>
      <c r="I14" s="1"/>
    </row>
    <row r="15" spans="1:9" x14ac:dyDescent="0.25">
      <c r="A15" s="1"/>
      <c r="B15" s="126" t="s">
        <v>40</v>
      </c>
      <c r="C15" s="127"/>
      <c r="D15" s="127"/>
      <c r="E15" s="127"/>
      <c r="F15" s="128"/>
      <c r="G15" s="57">
        <f>SUM(G11:G14)*'Fane 15. Nøgletal'!C33</f>
        <v>1320151.5281176181</v>
      </c>
      <c r="H15" s="58" t="s">
        <v>3</v>
      </c>
      <c r="I15" s="1"/>
    </row>
    <row r="16" spans="1:9" x14ac:dyDescent="0.25">
      <c r="A16" s="1"/>
      <c r="B16" s="59"/>
      <c r="C16" s="60"/>
      <c r="D16" s="60"/>
      <c r="E16" s="60"/>
      <c r="F16" s="60"/>
      <c r="G16" s="52"/>
      <c r="H16" s="61"/>
      <c r="I16" s="1"/>
    </row>
    <row r="17" spans="1:9" x14ac:dyDescent="0.25">
      <c r="A17" s="1"/>
      <c r="B17" s="62"/>
      <c r="C17" s="62"/>
      <c r="D17" s="62"/>
      <c r="E17" s="62"/>
      <c r="F17" s="62"/>
      <c r="G17" s="53"/>
      <c r="H17" s="62"/>
      <c r="I17" s="1"/>
    </row>
    <row r="18" spans="1:9" x14ac:dyDescent="0.25">
      <c r="A18" s="1"/>
      <c r="B18" s="129" t="s">
        <v>48</v>
      </c>
      <c r="C18" s="130"/>
      <c r="D18" s="130"/>
      <c r="E18" s="130"/>
      <c r="F18" s="130"/>
      <c r="G18" s="130"/>
      <c r="H18" s="131"/>
      <c r="I18" s="1"/>
    </row>
    <row r="19" spans="1:9" x14ac:dyDescent="0.25">
      <c r="A19" s="1"/>
      <c r="B19" s="126" t="s">
        <v>41</v>
      </c>
      <c r="C19" s="127"/>
      <c r="D19" s="127"/>
      <c r="E19" s="127"/>
      <c r="F19" s="128"/>
      <c r="G19" s="57">
        <f>(G11+G12+G14-G15)*(1+'Fane 15. Nøgletal'!C10)</f>
        <v>65819454.813124143</v>
      </c>
      <c r="H19" s="58" t="s">
        <v>3</v>
      </c>
      <c r="I19" s="1"/>
    </row>
    <row r="20" spans="1:9" x14ac:dyDescent="0.25">
      <c r="A20" s="1"/>
      <c r="B20" s="123" t="s">
        <v>42</v>
      </c>
      <c r="C20" s="124"/>
      <c r="D20" s="124"/>
      <c r="E20" s="124"/>
      <c r="F20" s="125"/>
      <c r="G20" s="71">
        <v>0</v>
      </c>
      <c r="H20" s="58" t="s">
        <v>3</v>
      </c>
      <c r="I20" s="1"/>
    </row>
    <row r="21" spans="1:9" x14ac:dyDescent="0.25">
      <c r="A21" s="1"/>
      <c r="B21" s="126" t="s">
        <v>43</v>
      </c>
      <c r="C21" s="127"/>
      <c r="D21" s="127"/>
      <c r="E21" s="127"/>
      <c r="F21" s="128"/>
      <c r="G21" s="57">
        <f>(G19+G20)*'Fane 15. Nøgletal'!C33</f>
        <v>1316389.0962624829</v>
      </c>
      <c r="H21" s="58" t="s">
        <v>3</v>
      </c>
      <c r="I21" s="1"/>
    </row>
    <row r="22" spans="1:9" x14ac:dyDescent="0.25">
      <c r="A22" s="1"/>
      <c r="B22" s="59"/>
      <c r="C22" s="60"/>
      <c r="D22" s="60"/>
      <c r="E22" s="60"/>
      <c r="F22" s="60"/>
      <c r="G22" s="52"/>
      <c r="H22" s="61"/>
      <c r="I22" s="1"/>
    </row>
    <row r="23" spans="1:9" x14ac:dyDescent="0.25">
      <c r="A23" s="1"/>
      <c r="B23" s="62"/>
      <c r="C23" s="62"/>
      <c r="D23" s="62"/>
      <c r="E23" s="62"/>
      <c r="F23" s="62"/>
      <c r="G23" s="53"/>
      <c r="H23" s="62"/>
      <c r="I23" s="1"/>
    </row>
    <row r="24" spans="1:9" x14ac:dyDescent="0.25">
      <c r="A24" s="1"/>
      <c r="B24" s="129" t="s">
        <v>49</v>
      </c>
      <c r="C24" s="130"/>
      <c r="D24" s="130"/>
      <c r="E24" s="130"/>
      <c r="F24" s="130"/>
      <c r="G24" s="130"/>
      <c r="H24" s="131"/>
      <c r="I24" s="1"/>
    </row>
    <row r="25" spans="1:9" x14ac:dyDescent="0.25">
      <c r="A25" s="1"/>
      <c r="B25" s="126" t="s">
        <v>44</v>
      </c>
      <c r="C25" s="127"/>
      <c r="D25" s="127"/>
      <c r="E25" s="127"/>
      <c r="F25" s="128"/>
      <c r="G25" s="57">
        <f>G19*(1-'Fane 15. Nøgletal'!C33)*(1+'Fane 15. Nøgletal'!C10)+G20*(1-'Fane 15. Nøgletal'!C33)*(1+'Fane 15. Nøgletal'!C11)</f>
        <v>65631869.36690674</v>
      </c>
      <c r="H25" s="58" t="s">
        <v>3</v>
      </c>
      <c r="I25" s="1"/>
    </row>
    <row r="26" spans="1:9" x14ac:dyDescent="0.25">
      <c r="A26" s="1"/>
      <c r="B26" s="138" t="s">
        <v>138</v>
      </c>
      <c r="C26" s="139"/>
      <c r="D26" s="139"/>
      <c r="E26" s="139"/>
      <c r="F26" s="140"/>
      <c r="G26" s="71">
        <v>0</v>
      </c>
      <c r="H26" s="71">
        <v>0</v>
      </c>
      <c r="I26" s="1"/>
    </row>
    <row r="27" spans="1:9" x14ac:dyDescent="0.25">
      <c r="A27" s="1"/>
      <c r="B27" s="123" t="s">
        <v>45</v>
      </c>
      <c r="C27" s="124"/>
      <c r="D27" s="124"/>
      <c r="E27" s="124"/>
      <c r="F27" s="125"/>
      <c r="G27" s="71">
        <v>1116147.00796533</v>
      </c>
      <c r="H27" s="58" t="s">
        <v>3</v>
      </c>
      <c r="I27" s="1"/>
    </row>
    <row r="28" spans="1:9" x14ac:dyDescent="0.25">
      <c r="A28" s="1"/>
      <c r="B28" s="126" t="s">
        <v>46</v>
      </c>
      <c r="C28" s="127"/>
      <c r="D28" s="127"/>
      <c r="E28" s="127"/>
      <c r="F28" s="128"/>
      <c r="G28" s="57">
        <f>SUM(G25,G27)*'Fane 15. Nøgletal'!C33</f>
        <v>1334960.3274974416</v>
      </c>
      <c r="H28" s="58" t="s">
        <v>3</v>
      </c>
      <c r="I28" s="1"/>
    </row>
    <row r="29" spans="1:9" x14ac:dyDescent="0.25">
      <c r="A29" s="1"/>
      <c r="B29" s="59"/>
      <c r="C29" s="60"/>
      <c r="D29" s="60"/>
      <c r="E29" s="60"/>
      <c r="F29" s="60"/>
      <c r="G29" s="52"/>
      <c r="H29" s="61"/>
      <c r="I29" s="1"/>
    </row>
    <row r="30" spans="1:9" x14ac:dyDescent="0.25">
      <c r="A30" s="1"/>
      <c r="B30" s="62"/>
      <c r="C30" s="62"/>
      <c r="D30" s="62"/>
      <c r="E30" s="62"/>
      <c r="F30" s="62"/>
      <c r="G30" s="53"/>
      <c r="H30" s="62"/>
      <c r="I30" s="1"/>
    </row>
    <row r="31" spans="1:9" x14ac:dyDescent="0.25">
      <c r="A31" s="1"/>
      <c r="B31" s="129" t="s">
        <v>50</v>
      </c>
      <c r="C31" s="130"/>
      <c r="D31" s="130"/>
      <c r="E31" s="130"/>
      <c r="F31" s="130"/>
      <c r="G31" s="130"/>
      <c r="H31" s="131"/>
      <c r="I31" s="1"/>
    </row>
    <row r="32" spans="1:9" x14ac:dyDescent="0.25">
      <c r="A32" s="1"/>
      <c r="B32" s="126" t="s">
        <v>51</v>
      </c>
      <c r="C32" s="127"/>
      <c r="D32" s="127"/>
      <c r="E32" s="127"/>
      <c r="F32" s="128"/>
      <c r="G32" s="57">
        <f>(G25-G26)*(1-'Fane 15. Nøgletal'!C33)*(1+'Fane 15. Nøgletal'!C10)+G26*(1-'Fane 15. Nøgletal'!C33)*(1+'Fane 15. Nøgletal'!C11)+G27*(1-'Fane 15. Nøgletal'!C33)*(1+'Fane 15. Nøgletal'!C12)</f>
        <v>66560190.941152856</v>
      </c>
      <c r="H32" s="58" t="s">
        <v>3</v>
      </c>
      <c r="I32" s="1"/>
    </row>
    <row r="33" spans="1:9" x14ac:dyDescent="0.25">
      <c r="A33" s="1"/>
      <c r="B33" s="138" t="s">
        <v>138</v>
      </c>
      <c r="C33" s="124"/>
      <c r="D33" s="124"/>
      <c r="E33" s="124"/>
      <c r="F33" s="125"/>
      <c r="G33" s="71">
        <v>0</v>
      </c>
      <c r="H33" s="58" t="s">
        <v>3</v>
      </c>
      <c r="I33" s="1"/>
    </row>
    <row r="34" spans="1:9" x14ac:dyDescent="0.25">
      <c r="A34" s="1"/>
      <c r="B34" s="138" t="s">
        <v>98</v>
      </c>
      <c r="C34" s="124"/>
      <c r="D34" s="124"/>
      <c r="E34" s="124"/>
      <c r="F34" s="125"/>
      <c r="G34" s="57">
        <f>G27*(1-'Fane 15. Nøgletal'!C33)*(1+'Fane 15. Nøgletal'!C12)</f>
        <v>1115372.4019418021</v>
      </c>
      <c r="H34" s="58" t="s">
        <v>3</v>
      </c>
      <c r="I34" s="1"/>
    </row>
    <row r="35" spans="1:9" x14ac:dyDescent="0.25">
      <c r="A35" s="1"/>
      <c r="B35" s="126" t="s">
        <v>114</v>
      </c>
      <c r="C35" s="127"/>
      <c r="D35" s="127"/>
      <c r="E35" s="127"/>
      <c r="F35" s="128"/>
      <c r="G35" s="71">
        <v>817081.79809535993</v>
      </c>
      <c r="H35" s="58" t="s">
        <v>3</v>
      </c>
      <c r="I35" s="1"/>
    </row>
    <row r="36" spans="1:9" x14ac:dyDescent="0.25">
      <c r="A36" s="1"/>
      <c r="B36" s="126" t="s">
        <v>52</v>
      </c>
      <c r="C36" s="127"/>
      <c r="D36" s="127"/>
      <c r="E36" s="127"/>
      <c r="F36" s="128"/>
      <c r="G36" s="57">
        <f>SUM(G32,G35)*'Fane 15. Nøgletal'!C33</f>
        <v>1347545.4547849644</v>
      </c>
      <c r="H36" s="58" t="s">
        <v>3</v>
      </c>
      <c r="I36" s="1"/>
    </row>
    <row r="37" spans="1:9" x14ac:dyDescent="0.25">
      <c r="A37" s="1"/>
      <c r="B37" s="59"/>
      <c r="C37" s="60"/>
      <c r="D37" s="60"/>
      <c r="E37" s="60"/>
      <c r="F37" s="60"/>
      <c r="G37" s="52"/>
      <c r="H37" s="61"/>
      <c r="I37" s="1"/>
    </row>
    <row r="38" spans="1:9" x14ac:dyDescent="0.25">
      <c r="A38" s="1"/>
      <c r="B38" s="62"/>
      <c r="C38" s="62"/>
      <c r="D38" s="62"/>
      <c r="E38" s="62"/>
      <c r="F38" s="62"/>
      <c r="G38" s="53"/>
      <c r="H38" s="62"/>
      <c r="I38" s="1"/>
    </row>
    <row r="39" spans="1:9" x14ac:dyDescent="0.25">
      <c r="A39" s="1"/>
      <c r="B39" s="129" t="s">
        <v>124</v>
      </c>
      <c r="C39" s="130"/>
      <c r="D39" s="130"/>
      <c r="E39" s="130"/>
      <c r="F39" s="130"/>
      <c r="G39" s="130"/>
      <c r="H39" s="131"/>
      <c r="I39" s="1"/>
    </row>
    <row r="40" spans="1:9" x14ac:dyDescent="0.25">
      <c r="A40" s="1"/>
      <c r="B40" s="126" t="s">
        <v>144</v>
      </c>
      <c r="C40" s="127"/>
      <c r="D40" s="127"/>
      <c r="E40" s="127"/>
      <c r="F40" s="128"/>
      <c r="G40" s="57">
        <f>(SUM(G32,G35)-G36)*(1+'Fane 15. Nøgletal'!C14)</f>
        <v>66247625.384501986</v>
      </c>
      <c r="H40" s="58" t="s">
        <v>3</v>
      </c>
      <c r="I40" s="1"/>
    </row>
    <row r="41" spans="1:9" x14ac:dyDescent="0.25">
      <c r="A41" s="1"/>
      <c r="B41" s="126" t="s">
        <v>143</v>
      </c>
      <c r="C41" s="127"/>
      <c r="D41" s="127"/>
      <c r="E41" s="127"/>
      <c r="F41" s="128"/>
      <c r="G41" s="72">
        <v>1544709.8404128503</v>
      </c>
      <c r="H41" s="58" t="s">
        <v>3</v>
      </c>
      <c r="I41" s="1"/>
    </row>
    <row r="42" spans="1:9" x14ac:dyDescent="0.25">
      <c r="A42" s="1"/>
      <c r="B42" s="126" t="s">
        <v>142</v>
      </c>
      <c r="C42" s="127"/>
      <c r="D42" s="127"/>
      <c r="E42" s="127"/>
      <c r="F42" s="128"/>
      <c r="G42" s="57">
        <f>(G40+G41)*'Fane 15. Nøgletal'!C33</f>
        <v>1355846.7044982966</v>
      </c>
      <c r="H42" s="58" t="s">
        <v>3</v>
      </c>
      <c r="I42" s="1"/>
    </row>
    <row r="43" spans="1:9" x14ac:dyDescent="0.25">
      <c r="A43" s="1"/>
      <c r="B43" s="59"/>
      <c r="C43" s="60"/>
      <c r="D43" s="60"/>
      <c r="E43" s="60"/>
      <c r="F43" s="60"/>
      <c r="G43" s="52"/>
      <c r="H43" s="61"/>
      <c r="I43" s="1"/>
    </row>
    <row r="44" spans="1:9" x14ac:dyDescent="0.25">
      <c r="A44" s="1"/>
      <c r="B44" s="62"/>
      <c r="C44" s="62"/>
      <c r="D44" s="62"/>
      <c r="E44" s="62"/>
      <c r="F44" s="62"/>
      <c r="G44" s="53"/>
      <c r="H44" s="62"/>
      <c r="I44" s="1"/>
    </row>
    <row r="45" spans="1:9" x14ac:dyDescent="0.25">
      <c r="A45" s="1"/>
      <c r="B45" s="129" t="s">
        <v>131</v>
      </c>
      <c r="C45" s="130"/>
      <c r="D45" s="130"/>
      <c r="E45" s="130"/>
      <c r="F45" s="130"/>
      <c r="G45" s="130"/>
      <c r="H45" s="131"/>
      <c r="I45" s="1"/>
    </row>
    <row r="46" spans="1:9" x14ac:dyDescent="0.25">
      <c r="A46" s="1"/>
      <c r="B46" s="126" t="s">
        <v>152</v>
      </c>
      <c r="C46" s="127"/>
      <c r="D46" s="127"/>
      <c r="E46" s="127"/>
      <c r="F46" s="128"/>
      <c r="G46" s="57">
        <f>(G40+G41-G42)*(1+'Fane 15. Nøgletal'!C14)</f>
        <v>66655728.932533912</v>
      </c>
      <c r="H46" s="58" t="s">
        <v>3</v>
      </c>
      <c r="I46" s="1"/>
    </row>
    <row r="47" spans="1:9" x14ac:dyDescent="0.25">
      <c r="A47" s="1"/>
      <c r="B47" s="138" t="s">
        <v>181</v>
      </c>
      <c r="C47" s="139"/>
      <c r="D47" s="139"/>
      <c r="E47" s="139"/>
      <c r="F47" s="140"/>
      <c r="G47" s="63">
        <v>2088948.7064059204</v>
      </c>
      <c r="H47" s="58" t="s">
        <v>3</v>
      </c>
      <c r="I47" s="1"/>
    </row>
    <row r="48" spans="1:9" x14ac:dyDescent="0.25">
      <c r="A48" s="1"/>
      <c r="B48" s="126" t="s">
        <v>153</v>
      </c>
      <c r="C48" s="127"/>
      <c r="D48" s="127"/>
      <c r="E48" s="127"/>
      <c r="F48" s="128"/>
      <c r="G48" s="57">
        <f>G46*'Fane 15. Nøgletal'!C33+'Fane 4.1. Gen. krav - drift'!G47*'Fane 15. Nøgletal'!C33</f>
        <v>1374893.5527787968</v>
      </c>
      <c r="H48" s="58" t="s">
        <v>3</v>
      </c>
      <c r="I48" s="1"/>
    </row>
    <row r="49" spans="1:9" x14ac:dyDescent="0.25">
      <c r="A49" s="1"/>
      <c r="B49" s="59"/>
      <c r="C49" s="60"/>
      <c r="D49" s="60"/>
      <c r="E49" s="60"/>
      <c r="F49" s="60"/>
      <c r="G49" s="52"/>
      <c r="H49" s="61"/>
      <c r="I49" s="1"/>
    </row>
    <row r="50" spans="1:9" x14ac:dyDescent="0.25">
      <c r="A50" s="1"/>
      <c r="B50" s="64"/>
      <c r="C50" s="64"/>
      <c r="D50" s="64"/>
      <c r="E50" s="64"/>
      <c r="F50" s="64"/>
      <c r="G50" s="54"/>
      <c r="H50" s="64"/>
      <c r="I50" s="1"/>
    </row>
    <row r="51" spans="1:9" x14ac:dyDescent="0.25">
      <c r="A51" s="1"/>
      <c r="B51" s="64"/>
      <c r="C51" s="64"/>
      <c r="D51" s="64"/>
      <c r="E51" s="64"/>
      <c r="F51" s="64"/>
      <c r="G51" s="54"/>
      <c r="H51" s="64"/>
      <c r="I51" s="1"/>
    </row>
    <row r="52" spans="1:9" x14ac:dyDescent="0.25">
      <c r="A52" s="1"/>
      <c r="B52" s="129" t="s">
        <v>253</v>
      </c>
      <c r="C52" s="130"/>
      <c r="D52" s="130"/>
      <c r="E52" s="130"/>
      <c r="F52" s="130"/>
      <c r="G52" s="130"/>
      <c r="H52" s="131"/>
      <c r="I52" s="1"/>
    </row>
    <row r="53" spans="1:9" x14ac:dyDescent="0.25">
      <c r="A53" s="1"/>
      <c r="B53" s="126" t="s">
        <v>115</v>
      </c>
      <c r="C53" s="127"/>
      <c r="D53" s="127"/>
      <c r="E53" s="127"/>
      <c r="F53" s="128"/>
      <c r="G53" s="57">
        <f>(G46+G47-G48)*(1+'Fane 15. Nøgletal'!C16)</f>
        <v>72813262.640322849</v>
      </c>
      <c r="H53" s="58" t="s">
        <v>3</v>
      </c>
      <c r="I53" s="1"/>
    </row>
    <row r="54" spans="1:9" x14ac:dyDescent="0.25">
      <c r="A54" s="1"/>
      <c r="B54" s="138" t="s">
        <v>243</v>
      </c>
      <c r="C54" s="139"/>
      <c r="D54" s="139"/>
      <c r="E54" s="139"/>
      <c r="F54" s="140"/>
      <c r="G54" s="63">
        <f>('Fane 2.1. Økonomisk ramme 2024'!C10+'Fane 2.1. Økonomisk ramme 2024'!C14+'Fane 2.1. Økonomisk ramme 2024'!C12)*(1+'Fane 15. Nøgletal'!C16)</f>
        <v>1387053.4690656001</v>
      </c>
      <c r="H54" s="58" t="s">
        <v>3</v>
      </c>
      <c r="I54" s="1"/>
    </row>
    <row r="55" spans="1:9" x14ac:dyDescent="0.25">
      <c r="A55" s="1"/>
      <c r="B55" s="126" t="s">
        <v>116</v>
      </c>
      <c r="C55" s="127"/>
      <c r="D55" s="127"/>
      <c r="E55" s="127"/>
      <c r="F55" s="128"/>
      <c r="G55" s="57">
        <f>(G53+G54)*'Fane 15. Nøgletal'!C33</f>
        <v>1484006.3221877692</v>
      </c>
      <c r="H55" s="58" t="s">
        <v>3</v>
      </c>
      <c r="I55" s="1"/>
    </row>
    <row r="56" spans="1:9" x14ac:dyDescent="0.25">
      <c r="A56" s="1"/>
      <c r="B56" s="59"/>
      <c r="C56" s="60"/>
      <c r="D56" s="60"/>
      <c r="E56" s="60"/>
      <c r="F56" s="60"/>
      <c r="G56" s="52"/>
      <c r="H56" s="61"/>
      <c r="I56" s="1"/>
    </row>
    <row r="57" spans="1:9" x14ac:dyDescent="0.25">
      <c r="A57" s="1"/>
      <c r="B57" s="62"/>
      <c r="C57" s="62"/>
      <c r="D57" s="62"/>
      <c r="E57" s="62"/>
      <c r="F57" s="62"/>
      <c r="G57" s="53"/>
      <c r="H57" s="62"/>
      <c r="I57" s="1"/>
    </row>
    <row r="58" spans="1:9" x14ac:dyDescent="0.25">
      <c r="A58" s="1"/>
      <c r="B58" s="78" t="s">
        <v>254</v>
      </c>
      <c r="C58" s="79"/>
      <c r="D58" s="79"/>
      <c r="E58" s="79"/>
      <c r="F58" s="79"/>
      <c r="G58" s="65"/>
      <c r="H58" s="80"/>
      <c r="I58" s="1"/>
    </row>
    <row r="59" spans="1:9" x14ac:dyDescent="0.25">
      <c r="A59" s="1"/>
      <c r="B59" s="75" t="s">
        <v>139</v>
      </c>
      <c r="C59" s="76"/>
      <c r="D59" s="76"/>
      <c r="E59" s="76"/>
      <c r="F59" s="77"/>
      <c r="G59" s="57">
        <f>(G53+G54-G55)*(1+'Fane 15. Nøgletal'!C16)</f>
        <v>78591787.618006498</v>
      </c>
      <c r="H59" s="58" t="s">
        <v>3</v>
      </c>
      <c r="I59" s="1"/>
    </row>
    <row r="60" spans="1:9" x14ac:dyDescent="0.25">
      <c r="A60" s="1"/>
      <c r="B60" s="75" t="s">
        <v>140</v>
      </c>
      <c r="C60" s="76"/>
      <c r="D60" s="76"/>
      <c r="E60" s="76"/>
      <c r="F60" s="77"/>
      <c r="G60" s="57">
        <f>(G59)*'Fane 15. Nøgletal'!C33</f>
        <v>1571835.75236013</v>
      </c>
      <c r="H60" s="58" t="s">
        <v>3</v>
      </c>
      <c r="I60" s="1"/>
    </row>
    <row r="61" spans="1:9" x14ac:dyDescent="0.25">
      <c r="A61" s="1"/>
      <c r="B61" s="59"/>
      <c r="C61" s="60"/>
      <c r="D61" s="60"/>
      <c r="E61" s="60"/>
      <c r="F61" s="60"/>
      <c r="G61" s="52"/>
      <c r="H61" s="61"/>
      <c r="I61" s="1"/>
    </row>
    <row r="62" spans="1:9" x14ac:dyDescent="0.25">
      <c r="A62" s="1"/>
      <c r="B62" s="62"/>
      <c r="C62" s="62"/>
      <c r="D62" s="62"/>
      <c r="E62" s="62"/>
      <c r="F62" s="62"/>
      <c r="G62" s="53"/>
      <c r="H62" s="62"/>
      <c r="I62" s="1"/>
    </row>
    <row r="63" spans="1:9" x14ac:dyDescent="0.25">
      <c r="A63" s="1"/>
      <c r="B63" s="78" t="s">
        <v>166</v>
      </c>
      <c r="C63" s="79"/>
      <c r="D63" s="79"/>
      <c r="E63" s="79"/>
      <c r="F63" s="79"/>
      <c r="G63" s="65"/>
      <c r="H63" s="80"/>
      <c r="I63" s="1"/>
    </row>
    <row r="64" spans="1:9" x14ac:dyDescent="0.25">
      <c r="A64" s="1"/>
      <c r="B64" s="75" t="s">
        <v>167</v>
      </c>
      <c r="C64" s="76"/>
      <c r="D64" s="76"/>
      <c r="E64" s="76"/>
      <c r="F64" s="77"/>
      <c r="G64" s="57">
        <f>(G59-G60)*(1+'Fane 15. Nøgletal'!C16)</f>
        <v>83243163.976390585</v>
      </c>
      <c r="H64" s="58" t="s">
        <v>3</v>
      </c>
      <c r="I64" s="1"/>
    </row>
    <row r="65" spans="1:9" x14ac:dyDescent="0.25">
      <c r="A65" s="1"/>
      <c r="B65" s="75" t="s">
        <v>168</v>
      </c>
      <c r="C65" s="76"/>
      <c r="D65" s="76"/>
      <c r="E65" s="76"/>
      <c r="F65" s="77"/>
      <c r="G65" s="57">
        <f>(G64)*'Fane 15. Nøgletal'!C33</f>
        <v>1664863.2795278118</v>
      </c>
      <c r="H65" s="58" t="s">
        <v>3</v>
      </c>
      <c r="I65" s="1"/>
    </row>
    <row r="66" spans="1:9" x14ac:dyDescent="0.25">
      <c r="A66" s="1"/>
      <c r="B66" s="59"/>
      <c r="C66" s="60"/>
      <c r="D66" s="60"/>
      <c r="E66" s="60"/>
      <c r="F66" s="60"/>
      <c r="G66" s="52"/>
      <c r="H66" s="61"/>
      <c r="I66" s="1"/>
    </row>
    <row r="67" spans="1:9" x14ac:dyDescent="0.25">
      <c r="A67" s="1"/>
      <c r="B67" s="62"/>
      <c r="C67" s="62"/>
      <c r="D67" s="62"/>
      <c r="E67" s="62"/>
      <c r="F67" s="62"/>
      <c r="G67" s="53"/>
      <c r="H67" s="62"/>
      <c r="I67" s="1"/>
    </row>
    <row r="68" spans="1:9" x14ac:dyDescent="0.25">
      <c r="A68" s="1"/>
      <c r="B68" s="78" t="s">
        <v>242</v>
      </c>
      <c r="C68" s="79"/>
      <c r="D68" s="79"/>
      <c r="E68" s="79"/>
      <c r="F68" s="79"/>
      <c r="G68" s="65"/>
      <c r="H68" s="80"/>
      <c r="I68" s="1"/>
    </row>
    <row r="69" spans="1:9" x14ac:dyDescent="0.25">
      <c r="A69" s="1"/>
      <c r="B69" s="75" t="s">
        <v>227</v>
      </c>
      <c r="C69" s="76"/>
      <c r="D69" s="76"/>
      <c r="E69" s="76"/>
      <c r="F69" s="77"/>
      <c r="G69" s="57">
        <f>(G64-G65)*(1+'Fane 15. Nøgletal'!C16)</f>
        <v>88169827.393169284</v>
      </c>
      <c r="H69" s="58" t="s">
        <v>3</v>
      </c>
      <c r="I69" s="1"/>
    </row>
    <row r="70" spans="1:9" x14ac:dyDescent="0.25">
      <c r="A70" s="1"/>
      <c r="B70" s="75" t="s">
        <v>228</v>
      </c>
      <c r="C70" s="76"/>
      <c r="D70" s="76"/>
      <c r="E70" s="76"/>
      <c r="F70" s="77"/>
      <c r="G70" s="57">
        <f>(G69)*'Fane 15. Nøgletal'!C33</f>
        <v>1763396.5478633856</v>
      </c>
      <c r="H70" s="58" t="s">
        <v>3</v>
      </c>
      <c r="I70" s="1"/>
    </row>
    <row r="71" spans="1:9" x14ac:dyDescent="0.25">
      <c r="A71" s="1"/>
      <c r="B71" s="30"/>
      <c r="C71" s="31"/>
      <c r="D71" s="31"/>
      <c r="E71" s="31"/>
      <c r="F71" s="31"/>
      <c r="G71" s="52"/>
      <c r="H71" s="19"/>
      <c r="I71" s="1"/>
    </row>
    <row r="72" spans="1:9" x14ac:dyDescent="0.25">
      <c r="A72" s="1"/>
      <c r="B72" s="1"/>
      <c r="C72" s="1"/>
      <c r="D72" s="1"/>
      <c r="E72" s="1"/>
      <c r="F72" s="1"/>
      <c r="G72" s="53"/>
      <c r="H72" s="1"/>
      <c r="I72" s="1"/>
    </row>
    <row r="73" spans="1:9" x14ac:dyDescent="0.25">
      <c r="A73" s="1"/>
      <c r="B73" s="1"/>
      <c r="C73" s="1"/>
      <c r="D73" s="1"/>
      <c r="E73" s="1"/>
      <c r="F73" s="1"/>
      <c r="G73" s="53"/>
      <c r="H73" s="1"/>
      <c r="I73" s="1"/>
    </row>
  </sheetData>
  <sheetProtection algorithmName="SHA-512" hashValue="hU+ttD8DMproq+XQi06ko9q4ssk3d4+GLwWRPuFQrJoiACvTfrcD3YuwMrfRtnaaaaJpGHv7/v94nC6NpsC0SA==" saltValue="/4tkSC0GIVPgXnNQU5/WFQ==" spinCount="100000" sheet="1" objects="1" scenarios="1"/>
  <mergeCells count="38">
    <mergeCell ref="B41:F41"/>
    <mergeCell ref="B47:F47"/>
    <mergeCell ref="B52:H52"/>
    <mergeCell ref="B53:F53"/>
    <mergeCell ref="B55:F55"/>
    <mergeCell ref="B48:F48"/>
    <mergeCell ref="B54:F54"/>
    <mergeCell ref="B12:F12"/>
    <mergeCell ref="B28:F28"/>
    <mergeCell ref="B36:F36"/>
    <mergeCell ref="B45:H45"/>
    <mergeCell ref="B46:F46"/>
    <mergeCell ref="B39:H39"/>
    <mergeCell ref="B42:F42"/>
    <mergeCell ref="B40:F40"/>
    <mergeCell ref="B13:F13"/>
    <mergeCell ref="B35:F35"/>
    <mergeCell ref="B26:F26"/>
    <mergeCell ref="B33:F33"/>
    <mergeCell ref="B34:F34"/>
    <mergeCell ref="B18:H18"/>
    <mergeCell ref="B24:H24"/>
    <mergeCell ref="B32:F32"/>
    <mergeCell ref="B1:H3"/>
    <mergeCell ref="B4:H4"/>
    <mergeCell ref="B5:F5"/>
    <mergeCell ref="B7:F7"/>
    <mergeCell ref="B11:F11"/>
    <mergeCell ref="B10:H10"/>
    <mergeCell ref="B6:F6"/>
    <mergeCell ref="B14:F14"/>
    <mergeCell ref="B15:F15"/>
    <mergeCell ref="B19:F19"/>
    <mergeCell ref="B20:F20"/>
    <mergeCell ref="B31:H31"/>
    <mergeCell ref="B21:F21"/>
    <mergeCell ref="B25:F25"/>
    <mergeCell ref="B27:F2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71"/>
  <sheetViews>
    <sheetView showGridLines="0" view="pageLayout" zoomScale="87" zoomScaleNormal="100" zoomScalePageLayoutView="87" workbookViewId="0"/>
  </sheetViews>
  <sheetFormatPr defaultColWidth="9" defaultRowHeight="15" x14ac:dyDescent="0.25"/>
  <cols>
    <col min="1" max="1" width="2.28515625" style="2" customWidth="1"/>
    <col min="2" max="5" width="9" style="2"/>
    <col min="6" max="6" width="21.42578125" style="2" customWidth="1"/>
    <col min="7" max="7" width="21.7109375" style="2" customWidth="1"/>
    <col min="8" max="8" width="3.5703125" style="2" customWidth="1"/>
    <col min="9" max="9" width="2.28515625" style="2" customWidth="1"/>
    <col min="10" max="16384" width="9" style="2"/>
  </cols>
  <sheetData>
    <row r="1" spans="1:9" x14ac:dyDescent="0.25">
      <c r="A1" s="1"/>
      <c r="B1" s="1"/>
      <c r="C1" s="1"/>
      <c r="D1" s="1"/>
      <c r="E1" s="1"/>
      <c r="F1" s="1"/>
      <c r="G1" s="1"/>
      <c r="H1" s="1"/>
      <c r="I1" s="1"/>
    </row>
    <row r="2" spans="1:9" ht="15" customHeight="1" x14ac:dyDescent="0.25">
      <c r="A2" s="1"/>
      <c r="B2" s="141" t="s">
        <v>89</v>
      </c>
      <c r="C2" s="141"/>
      <c r="D2" s="141"/>
      <c r="E2" s="141"/>
      <c r="F2" s="141"/>
      <c r="G2" s="141"/>
      <c r="H2" s="141"/>
      <c r="I2" s="1"/>
    </row>
    <row r="3" spans="1:9" ht="28.5" customHeight="1" x14ac:dyDescent="0.25">
      <c r="A3" s="1"/>
      <c r="B3" s="141"/>
      <c r="C3" s="141"/>
      <c r="D3" s="141"/>
      <c r="E3" s="141"/>
      <c r="F3" s="141"/>
      <c r="G3" s="141"/>
      <c r="H3" s="141"/>
      <c r="I3" s="1"/>
    </row>
    <row r="4" spans="1:9" ht="18.75" x14ac:dyDescent="0.3">
      <c r="A4" s="1"/>
      <c r="B4" s="25"/>
      <c r="C4" s="25"/>
      <c r="D4" s="25"/>
      <c r="E4" s="25"/>
      <c r="F4" s="25"/>
      <c r="G4" s="25"/>
      <c r="H4" s="25"/>
      <c r="I4" s="1"/>
    </row>
    <row r="5" spans="1:9" x14ac:dyDescent="0.25">
      <c r="A5" s="1"/>
      <c r="B5" s="132" t="s">
        <v>145</v>
      </c>
      <c r="C5" s="133"/>
      <c r="D5" s="133"/>
      <c r="E5" s="133"/>
      <c r="F5" s="133"/>
      <c r="G5" s="133"/>
      <c r="H5" s="134"/>
      <c r="I5" s="1"/>
    </row>
    <row r="6" spans="1:9" x14ac:dyDescent="0.25">
      <c r="A6" s="1"/>
      <c r="B6" s="126" t="s">
        <v>146</v>
      </c>
      <c r="C6" s="127"/>
      <c r="D6" s="127"/>
      <c r="E6" s="127"/>
      <c r="F6" s="128"/>
      <c r="G6" s="71">
        <v>122877427.84155519</v>
      </c>
      <c r="H6" s="58" t="s">
        <v>3</v>
      </c>
      <c r="I6" s="1"/>
    </row>
    <row r="7" spans="1:9" x14ac:dyDescent="0.25">
      <c r="A7" s="1"/>
      <c r="B7" s="126" t="s">
        <v>141</v>
      </c>
      <c r="C7" s="127"/>
      <c r="D7" s="127"/>
      <c r="E7" s="127"/>
      <c r="F7" s="128"/>
      <c r="G7" s="57">
        <f>G6*'Fane 15. Nøgletal'!C21</f>
        <v>1118184.5933581523</v>
      </c>
      <c r="H7" s="58" t="s">
        <v>3</v>
      </c>
      <c r="I7" s="1"/>
    </row>
    <row r="8" spans="1:9" x14ac:dyDescent="0.25">
      <c r="A8" s="1"/>
      <c r="B8" s="59"/>
      <c r="C8" s="60"/>
      <c r="D8" s="60"/>
      <c r="E8" s="60"/>
      <c r="F8" s="60"/>
      <c r="G8" s="60"/>
      <c r="H8" s="61"/>
      <c r="I8" s="1"/>
    </row>
    <row r="9" spans="1:9" x14ac:dyDescent="0.25">
      <c r="A9" s="1"/>
      <c r="B9" s="62"/>
      <c r="C9" s="62"/>
      <c r="D9" s="62"/>
      <c r="E9" s="62"/>
      <c r="F9" s="62"/>
      <c r="G9" s="62"/>
      <c r="H9" s="62"/>
      <c r="I9" s="1"/>
    </row>
    <row r="10" spans="1:9" x14ac:dyDescent="0.25">
      <c r="A10" s="1"/>
      <c r="B10" s="129" t="s">
        <v>53</v>
      </c>
      <c r="C10" s="130"/>
      <c r="D10" s="130"/>
      <c r="E10" s="130"/>
      <c r="F10" s="130"/>
      <c r="G10" s="130"/>
      <c r="H10" s="131"/>
      <c r="I10" s="1"/>
    </row>
    <row r="11" spans="1:9" x14ac:dyDescent="0.25">
      <c r="A11" s="1"/>
      <c r="B11" s="126" t="s">
        <v>147</v>
      </c>
      <c r="C11" s="127"/>
      <c r="D11" s="127"/>
      <c r="E11" s="127"/>
      <c r="F11" s="128"/>
      <c r="G11" s="57">
        <f>(G6-G7)*(1+'Fane 15. Nøgletal'!C10)</f>
        <v>123890030.0050405</v>
      </c>
      <c r="H11" s="58" t="s">
        <v>3</v>
      </c>
      <c r="I11" s="1"/>
    </row>
    <row r="12" spans="1:9" x14ac:dyDescent="0.25">
      <c r="A12" s="1"/>
      <c r="B12" s="126" t="s">
        <v>102</v>
      </c>
      <c r="C12" s="127"/>
      <c r="D12" s="127"/>
      <c r="E12" s="127"/>
      <c r="F12" s="128"/>
      <c r="G12" s="71">
        <v>1027619.3074171473</v>
      </c>
      <c r="H12" s="58" t="s">
        <v>3</v>
      </c>
      <c r="I12" s="1"/>
    </row>
    <row r="13" spans="1:9" x14ac:dyDescent="0.25">
      <c r="A13" s="1"/>
      <c r="B13" s="123" t="s">
        <v>233</v>
      </c>
      <c r="C13" s="124"/>
      <c r="D13" s="124"/>
      <c r="E13" s="124"/>
      <c r="F13" s="125"/>
      <c r="G13" s="71">
        <v>0</v>
      </c>
      <c r="H13" s="58" t="s">
        <v>3</v>
      </c>
      <c r="I13" s="1"/>
    </row>
    <row r="14" spans="1:9" x14ac:dyDescent="0.25">
      <c r="A14" s="1"/>
      <c r="B14" s="126" t="s">
        <v>54</v>
      </c>
      <c r="C14" s="127"/>
      <c r="D14" s="127"/>
      <c r="E14" s="127"/>
      <c r="F14" s="128"/>
      <c r="G14" s="57">
        <f>SUM(G11:G13)*'Fane 15. Nøgletal'!C22</f>
        <v>2211042.3928305004</v>
      </c>
      <c r="H14" s="58" t="s">
        <v>3</v>
      </c>
      <c r="I14" s="1"/>
    </row>
    <row r="15" spans="1:9" x14ac:dyDescent="0.25">
      <c r="A15" s="1"/>
      <c r="B15" s="59"/>
      <c r="C15" s="60"/>
      <c r="D15" s="60"/>
      <c r="E15" s="60"/>
      <c r="F15" s="60"/>
      <c r="G15" s="60"/>
      <c r="H15" s="61"/>
      <c r="I15" s="1"/>
    </row>
    <row r="16" spans="1:9" x14ac:dyDescent="0.25">
      <c r="A16" s="1"/>
      <c r="B16" s="62"/>
      <c r="C16" s="62"/>
      <c r="D16" s="62"/>
      <c r="E16" s="62"/>
      <c r="F16" s="62"/>
      <c r="G16" s="62"/>
      <c r="H16" s="62"/>
      <c r="I16" s="1"/>
    </row>
    <row r="17" spans="1:9" x14ac:dyDescent="0.25">
      <c r="A17" s="1"/>
      <c r="B17" s="129" t="s">
        <v>55</v>
      </c>
      <c r="C17" s="130"/>
      <c r="D17" s="130"/>
      <c r="E17" s="130"/>
      <c r="F17" s="130"/>
      <c r="G17" s="130"/>
      <c r="H17" s="131"/>
      <c r="I17" s="1"/>
    </row>
    <row r="18" spans="1:9" x14ac:dyDescent="0.25">
      <c r="A18" s="1"/>
      <c r="B18" s="126" t="s">
        <v>56</v>
      </c>
      <c r="C18" s="127"/>
      <c r="D18" s="127"/>
      <c r="E18" s="127"/>
      <c r="F18" s="128"/>
      <c r="G18" s="57">
        <f>(G11+G12+G13-G14)*(1+'Fane 15. Nøgletal'!C10)</f>
        <v>124853972.54072063</v>
      </c>
      <c r="H18" s="58" t="s">
        <v>3</v>
      </c>
      <c r="I18" s="1"/>
    </row>
    <row r="19" spans="1:9" x14ac:dyDescent="0.25">
      <c r="A19" s="1"/>
      <c r="B19" s="123" t="s">
        <v>234</v>
      </c>
      <c r="C19" s="124"/>
      <c r="D19" s="124"/>
      <c r="E19" s="124"/>
      <c r="F19" s="125"/>
      <c r="G19" s="71">
        <v>797971.80858308985</v>
      </c>
      <c r="H19" s="58" t="s">
        <v>3</v>
      </c>
      <c r="I19" s="1"/>
    </row>
    <row r="20" spans="1:9" x14ac:dyDescent="0.25">
      <c r="A20" s="1"/>
      <c r="B20" s="126" t="s">
        <v>57</v>
      </c>
      <c r="C20" s="127"/>
      <c r="D20" s="127"/>
      <c r="E20" s="127"/>
      <c r="F20" s="128"/>
      <c r="G20" s="57">
        <f>G18*'Fane 15. Nøgletal'!C22+G19*'Fane 15. Nøgletal'!C23</f>
        <v>2216857.668705428</v>
      </c>
      <c r="H20" s="58" t="s">
        <v>3</v>
      </c>
      <c r="I20" s="1"/>
    </row>
    <row r="21" spans="1:9" x14ac:dyDescent="0.25">
      <c r="A21" s="1"/>
      <c r="B21" s="59"/>
      <c r="C21" s="60"/>
      <c r="D21" s="60"/>
      <c r="E21" s="60"/>
      <c r="F21" s="60"/>
      <c r="G21" s="60"/>
      <c r="H21" s="61"/>
      <c r="I21" s="1"/>
    </row>
    <row r="22" spans="1:9" x14ac:dyDescent="0.25">
      <c r="A22" s="1"/>
      <c r="B22" s="62"/>
      <c r="C22" s="62"/>
      <c r="D22" s="62"/>
      <c r="E22" s="62"/>
      <c r="F22" s="62"/>
      <c r="G22" s="62"/>
      <c r="H22" s="62"/>
      <c r="I22" s="1"/>
    </row>
    <row r="23" spans="1:9" x14ac:dyDescent="0.25">
      <c r="A23" s="1"/>
      <c r="B23" s="129" t="s">
        <v>130</v>
      </c>
      <c r="C23" s="130"/>
      <c r="D23" s="130"/>
      <c r="E23" s="130"/>
      <c r="F23" s="130"/>
      <c r="G23" s="130"/>
      <c r="H23" s="131"/>
      <c r="I23" s="1"/>
    </row>
    <row r="24" spans="1:9" x14ac:dyDescent="0.25">
      <c r="A24" s="1"/>
      <c r="B24" s="126" t="s">
        <v>58</v>
      </c>
      <c r="C24" s="127"/>
      <c r="D24" s="127"/>
      <c r="E24" s="127"/>
      <c r="F24" s="128"/>
      <c r="G24" s="57">
        <f>G18*(1-'Fane 15. Nøgletal'!C22)*(1+'Fane 15. Nøgletal'!C10)+G19*(1-'Fane 15. Nøgletal'!C23)*(1+'Fane 15. Nøgletal'!C11)</f>
        <v>125594726.07983646</v>
      </c>
      <c r="H24" s="58" t="s">
        <v>3</v>
      </c>
      <c r="I24" s="1"/>
    </row>
    <row r="25" spans="1:9" x14ac:dyDescent="0.25">
      <c r="A25" s="1"/>
      <c r="B25" s="138" t="s">
        <v>148</v>
      </c>
      <c r="C25" s="124"/>
      <c r="D25" s="124"/>
      <c r="E25" s="124"/>
      <c r="F25" s="125"/>
      <c r="G25" s="57">
        <f>G19*(1-'Fane 15. Nøgletal'!C23)*(1+'Fane 15. Nøgletal'!C11)</f>
        <v>804397.85161845514</v>
      </c>
      <c r="H25" s="58" t="s">
        <v>3</v>
      </c>
      <c r="I25" s="1"/>
    </row>
    <row r="26" spans="1:9" x14ac:dyDescent="0.25">
      <c r="A26" s="1"/>
      <c r="B26" s="123" t="s">
        <v>235</v>
      </c>
      <c r="C26" s="124"/>
      <c r="D26" s="124"/>
      <c r="E26" s="124"/>
      <c r="F26" s="125"/>
      <c r="G26" s="71">
        <v>1676052.1596694316</v>
      </c>
      <c r="H26" s="58" t="s">
        <v>3</v>
      </c>
      <c r="I26" s="1"/>
    </row>
    <row r="27" spans="1:9" x14ac:dyDescent="0.25">
      <c r="A27" s="1"/>
      <c r="B27" s="126" t="s">
        <v>59</v>
      </c>
      <c r="C27" s="127"/>
      <c r="D27" s="127"/>
      <c r="E27" s="127"/>
      <c r="F27" s="128"/>
      <c r="G27" s="57">
        <f>(G24-G25)*'Fane 15. Nøgletal'!C23+G25*'Fane 15. Nøgletal'!C24+G26*'Fane 15. Nøgletal'!C25</f>
        <v>1154612.1889623699</v>
      </c>
      <c r="H27" s="58" t="s">
        <v>3</v>
      </c>
      <c r="I27" s="1"/>
    </row>
    <row r="28" spans="1:9" x14ac:dyDescent="0.25">
      <c r="A28" s="1"/>
      <c r="B28" s="59"/>
      <c r="C28" s="60"/>
      <c r="D28" s="60"/>
      <c r="E28" s="60"/>
      <c r="F28" s="60"/>
      <c r="G28" s="60"/>
      <c r="H28" s="61"/>
      <c r="I28" s="1"/>
    </row>
    <row r="29" spans="1:9" x14ac:dyDescent="0.25">
      <c r="A29" s="1"/>
      <c r="B29" s="62"/>
      <c r="C29" s="62"/>
      <c r="D29" s="62"/>
      <c r="E29" s="62"/>
      <c r="F29" s="62"/>
      <c r="G29" s="62"/>
      <c r="H29" s="62"/>
      <c r="I29" s="1"/>
    </row>
    <row r="30" spans="1:9" x14ac:dyDescent="0.25">
      <c r="A30" s="1"/>
      <c r="B30" s="129" t="s">
        <v>60</v>
      </c>
      <c r="C30" s="130"/>
      <c r="D30" s="130"/>
      <c r="E30" s="130"/>
      <c r="F30" s="130"/>
      <c r="G30" s="130"/>
      <c r="H30" s="131"/>
      <c r="I30" s="1"/>
    </row>
    <row r="31" spans="1:9" x14ac:dyDescent="0.25">
      <c r="A31" s="1"/>
      <c r="B31" s="126" t="s">
        <v>61</v>
      </c>
      <c r="C31" s="127"/>
      <c r="D31" s="127"/>
      <c r="E31" s="127"/>
      <c r="F31" s="128"/>
      <c r="G31" s="57">
        <f>(G24-G25)*(1-'Fane 15. Nøgletal'!C22)*(1+'Fane 15. Nøgletal'!C10)+G25*(1-'Fane 15. Nøgletal'!C23)*(1+'Fane 15. Nøgletal'!C11)+G26*(1-'Fane 15. Nøgletal'!C24)*(1+'Fane 15. Nøgletal'!C12)</f>
        <v>127198124.79000729</v>
      </c>
      <c r="H31" s="58" t="s">
        <v>3</v>
      </c>
      <c r="I31" s="1"/>
    </row>
    <row r="32" spans="1:9" x14ac:dyDescent="0.25">
      <c r="A32" s="1"/>
      <c r="B32" s="138" t="s">
        <v>149</v>
      </c>
      <c r="C32" s="124"/>
      <c r="D32" s="124"/>
      <c r="E32" s="124"/>
      <c r="F32" s="125"/>
      <c r="G32" s="57">
        <f>G25*(1-'Fane 15. Nøgletal'!C23)*(1+'Fane 15. Nøgletal'!C11)</f>
        <v>810875.64338560286</v>
      </c>
      <c r="H32" s="58" t="s">
        <v>3</v>
      </c>
      <c r="I32" s="1"/>
    </row>
    <row r="33" spans="1:9" x14ac:dyDescent="0.25">
      <c r="A33" s="1"/>
      <c r="B33" s="138" t="s">
        <v>97</v>
      </c>
      <c r="C33" s="124"/>
      <c r="D33" s="124"/>
      <c r="E33" s="124"/>
      <c r="F33" s="125"/>
      <c r="G33" s="57">
        <f>G26*(1-'Fane 15. Nøgletal'!C24)*(1+'Fane 15. Nøgletal'!C12)</f>
        <v>1660532.7882180158</v>
      </c>
      <c r="H33" s="58" t="s">
        <v>3</v>
      </c>
      <c r="I33" s="1"/>
    </row>
    <row r="34" spans="1:9" x14ac:dyDescent="0.25">
      <c r="A34" s="1"/>
      <c r="B34" s="126" t="s">
        <v>236</v>
      </c>
      <c r="C34" s="127"/>
      <c r="D34" s="127"/>
      <c r="E34" s="127"/>
      <c r="F34" s="128"/>
      <c r="G34" s="71">
        <v>2287558.3488634801</v>
      </c>
      <c r="H34" s="58" t="s">
        <v>3</v>
      </c>
      <c r="I34" s="1"/>
    </row>
    <row r="35" spans="1:9" x14ac:dyDescent="0.25">
      <c r="A35" s="1"/>
      <c r="B35" s="126" t="s">
        <v>62</v>
      </c>
      <c r="C35" s="127"/>
      <c r="D35" s="127"/>
      <c r="E35" s="127"/>
      <c r="F35" s="128"/>
      <c r="G35" s="57">
        <f>(G31-SUM(G32:G33))*'Fane 15. Nøgletal'!C22+G32*'Fane 15. Nøgletal'!C23+G33*'Fane 15. Nøgletal'!C24+G34*'Fane 15. Nøgletal'!C25</f>
        <v>2324784.4834203371</v>
      </c>
      <c r="H35" s="58" t="s">
        <v>3</v>
      </c>
      <c r="I35" s="1"/>
    </row>
    <row r="36" spans="1:9" x14ac:dyDescent="0.25">
      <c r="A36" s="1"/>
      <c r="B36" s="59"/>
      <c r="C36" s="60"/>
      <c r="D36" s="60"/>
      <c r="E36" s="60"/>
      <c r="F36" s="60"/>
      <c r="G36" s="60"/>
      <c r="H36" s="61"/>
      <c r="I36" s="1"/>
    </row>
    <row r="37" spans="1:9" x14ac:dyDescent="0.25">
      <c r="A37" s="1"/>
      <c r="B37" s="62"/>
      <c r="C37" s="62"/>
      <c r="D37" s="62"/>
      <c r="E37" s="62"/>
      <c r="F37" s="62"/>
      <c r="G37" s="62"/>
      <c r="H37" s="62"/>
      <c r="I37" s="1"/>
    </row>
    <row r="38" spans="1:9" x14ac:dyDescent="0.25">
      <c r="A38" s="1"/>
      <c r="B38" s="129" t="s">
        <v>125</v>
      </c>
      <c r="C38" s="130"/>
      <c r="D38" s="130"/>
      <c r="E38" s="130"/>
      <c r="F38" s="130"/>
      <c r="G38" s="130"/>
      <c r="H38" s="131"/>
      <c r="I38" s="1"/>
    </row>
    <row r="39" spans="1:9" x14ac:dyDescent="0.25">
      <c r="A39" s="1"/>
      <c r="B39" s="126" t="s">
        <v>150</v>
      </c>
      <c r="C39" s="127"/>
      <c r="D39" s="127"/>
      <c r="E39" s="127"/>
      <c r="F39" s="128"/>
      <c r="G39" s="57">
        <f>(SUM(G31,G34)-G35)*(1+'Fane 15. Nøgletal'!C14)</f>
        <v>127580529.62101343</v>
      </c>
      <c r="H39" s="58" t="s">
        <v>3</v>
      </c>
      <c r="I39" s="1"/>
    </row>
    <row r="40" spans="1:9" x14ac:dyDescent="0.25">
      <c r="A40" s="1"/>
      <c r="B40" s="126" t="s">
        <v>237</v>
      </c>
      <c r="C40" s="127"/>
      <c r="D40" s="127"/>
      <c r="E40" s="127"/>
      <c r="F40" s="128"/>
      <c r="G40" s="71">
        <v>554162.44699547009</v>
      </c>
      <c r="H40" s="58" t="s">
        <v>3</v>
      </c>
      <c r="I40" s="1"/>
    </row>
    <row r="41" spans="1:9" x14ac:dyDescent="0.25">
      <c r="A41" s="1"/>
      <c r="B41" s="126" t="s">
        <v>126</v>
      </c>
      <c r="C41" s="127"/>
      <c r="D41" s="127"/>
      <c r="E41" s="127"/>
      <c r="F41" s="128"/>
      <c r="G41" s="57">
        <f>(G39+G40)*'Fane 15. Nøgletal'!C26</f>
        <v>1896393.4426065318</v>
      </c>
      <c r="H41" s="58" t="s">
        <v>3</v>
      </c>
      <c r="I41" s="1"/>
    </row>
    <row r="42" spans="1:9" x14ac:dyDescent="0.25">
      <c r="A42" s="1"/>
      <c r="B42" s="59"/>
      <c r="C42" s="60"/>
      <c r="D42" s="60"/>
      <c r="E42" s="60"/>
      <c r="F42" s="60"/>
      <c r="G42" s="60"/>
      <c r="H42" s="61"/>
      <c r="I42" s="1"/>
    </row>
    <row r="43" spans="1:9" x14ac:dyDescent="0.25">
      <c r="A43" s="1"/>
      <c r="B43" s="62"/>
      <c r="C43" s="62"/>
      <c r="D43" s="62"/>
      <c r="E43" s="62"/>
      <c r="F43" s="62"/>
      <c r="G43" s="62"/>
      <c r="H43" s="62"/>
      <c r="I43" s="1"/>
    </row>
    <row r="44" spans="1:9" x14ac:dyDescent="0.25">
      <c r="A44" s="1"/>
      <c r="B44" s="129" t="s">
        <v>182</v>
      </c>
      <c r="C44" s="130"/>
      <c r="D44" s="130"/>
      <c r="E44" s="130"/>
      <c r="F44" s="130"/>
      <c r="G44" s="130"/>
      <c r="H44" s="131"/>
      <c r="I44" s="1"/>
    </row>
    <row r="45" spans="1:9" x14ac:dyDescent="0.25">
      <c r="A45" s="1"/>
      <c r="B45" s="126" t="s">
        <v>63</v>
      </c>
      <c r="C45" s="127"/>
      <c r="D45" s="127"/>
      <c r="E45" s="127"/>
      <c r="F45" s="128"/>
      <c r="G45" s="57">
        <f>(G39+G40-G41)*(1+'Fane 15. Nøgletal'!C14)</f>
        <v>126654885.01086619</v>
      </c>
      <c r="H45" s="58" t="s">
        <v>3</v>
      </c>
      <c r="I45" s="1"/>
    </row>
    <row r="46" spans="1:9" x14ac:dyDescent="0.25">
      <c r="A46" s="1"/>
      <c r="B46" s="138" t="s">
        <v>184</v>
      </c>
      <c r="C46" s="139"/>
      <c r="D46" s="139"/>
      <c r="E46" s="139"/>
      <c r="F46" s="140"/>
      <c r="G46" s="63">
        <v>2355983.4268396804</v>
      </c>
      <c r="H46" s="58" t="s">
        <v>3</v>
      </c>
      <c r="I46" s="1"/>
    </row>
    <row r="47" spans="1:9" x14ac:dyDescent="0.25">
      <c r="A47" s="1"/>
      <c r="B47" s="126" t="s">
        <v>154</v>
      </c>
      <c r="C47" s="127"/>
      <c r="D47" s="127"/>
      <c r="E47" s="127"/>
      <c r="F47" s="128"/>
      <c r="G47" s="57">
        <f>G45*'Fane 15. Nøgletal'!C26+G46*'Fane 15. Nøgletal'!C27</f>
        <v>1874492.2981608198</v>
      </c>
      <c r="H47" s="58" t="s">
        <v>3</v>
      </c>
      <c r="I47" s="1"/>
    </row>
    <row r="48" spans="1:9" x14ac:dyDescent="0.25">
      <c r="A48" s="1"/>
      <c r="B48" s="59"/>
      <c r="C48" s="60"/>
      <c r="D48" s="60"/>
      <c r="E48" s="60"/>
      <c r="F48" s="60"/>
      <c r="G48" s="60"/>
      <c r="H48" s="61"/>
      <c r="I48" s="1"/>
    </row>
    <row r="49" spans="1:9" x14ac:dyDescent="0.25">
      <c r="A49" s="1"/>
      <c r="B49" s="1"/>
      <c r="C49" s="1"/>
      <c r="D49" s="1"/>
      <c r="E49" s="1"/>
      <c r="F49" s="1"/>
      <c r="G49" s="1"/>
      <c r="H49" s="1"/>
      <c r="I49" s="1"/>
    </row>
    <row r="50" spans="1:9" x14ac:dyDescent="0.25">
      <c r="A50" s="1"/>
      <c r="B50" s="132" t="s">
        <v>255</v>
      </c>
      <c r="C50" s="133"/>
      <c r="D50" s="133"/>
      <c r="E50" s="133"/>
      <c r="F50" s="133"/>
      <c r="G50" s="133"/>
      <c r="H50" s="134"/>
      <c r="I50" s="1"/>
    </row>
    <row r="51" spans="1:9" x14ac:dyDescent="0.25">
      <c r="A51" s="1"/>
      <c r="B51" s="126" t="s">
        <v>117</v>
      </c>
      <c r="C51" s="127"/>
      <c r="D51" s="127"/>
      <c r="E51" s="127"/>
      <c r="F51" s="128"/>
      <c r="G51" s="57">
        <f>(G45+G46-G47)*(1+'Fane 15. Nøgletal'!C16)</f>
        <v>137408995.33162031</v>
      </c>
      <c r="H51" s="58" t="s">
        <v>3</v>
      </c>
      <c r="I51" s="1"/>
    </row>
    <row r="52" spans="1:9" x14ac:dyDescent="0.25">
      <c r="A52" s="1"/>
      <c r="B52" s="138" t="s">
        <v>238</v>
      </c>
      <c r="C52" s="139"/>
      <c r="D52" s="139"/>
      <c r="E52" s="139"/>
      <c r="F52" s="140"/>
      <c r="G52" s="63">
        <f>('Fane 2.1. Økonomisk ramme 2024'!C11+'Fane 2.1. Økonomisk ramme 2024'!C13+'Fane 2.1. Økonomisk ramme 2024'!C15)*(1+'Fane 15. Nøgletal'!C16)</f>
        <v>2266564.38908032</v>
      </c>
      <c r="H52" s="58" t="s">
        <v>3</v>
      </c>
      <c r="I52" s="1"/>
    </row>
    <row r="53" spans="1:9" x14ac:dyDescent="0.25">
      <c r="A53" s="1"/>
      <c r="B53" s="126" t="s">
        <v>118</v>
      </c>
      <c r="C53" s="127"/>
      <c r="D53" s="127"/>
      <c r="E53" s="127"/>
      <c r="F53" s="128"/>
      <c r="G53" s="71">
        <v>0</v>
      </c>
      <c r="H53" s="58" t="s">
        <v>3</v>
      </c>
      <c r="I53" s="1"/>
    </row>
    <row r="54" spans="1:9" x14ac:dyDescent="0.25">
      <c r="A54" s="1"/>
      <c r="B54" s="59"/>
      <c r="C54" s="60"/>
      <c r="D54" s="60"/>
      <c r="E54" s="60"/>
      <c r="F54" s="60"/>
      <c r="G54" s="60"/>
      <c r="H54" s="61"/>
      <c r="I54" s="1"/>
    </row>
    <row r="55" spans="1:9" x14ac:dyDescent="0.25">
      <c r="A55" s="1"/>
      <c r="B55" s="62"/>
      <c r="C55" s="62"/>
      <c r="D55" s="62"/>
      <c r="E55" s="62"/>
      <c r="F55" s="62"/>
      <c r="G55" s="62"/>
      <c r="H55" s="62"/>
      <c r="I55" s="1"/>
    </row>
    <row r="56" spans="1:9" x14ac:dyDescent="0.25">
      <c r="A56" s="1"/>
      <c r="B56" s="129" t="s">
        <v>256</v>
      </c>
      <c r="C56" s="130"/>
      <c r="D56" s="130"/>
      <c r="E56" s="130"/>
      <c r="F56" s="130"/>
      <c r="G56" s="130"/>
      <c r="H56" s="131"/>
      <c r="I56" s="1"/>
    </row>
    <row r="57" spans="1:9" x14ac:dyDescent="0.25">
      <c r="A57" s="1"/>
      <c r="B57" s="126" t="s">
        <v>170</v>
      </c>
      <c r="C57" s="127"/>
      <c r="D57" s="127"/>
      <c r="E57" s="127"/>
      <c r="F57" s="128"/>
      <c r="G57" s="57">
        <f>(G51+G52-G53)*(1+'Fane 15. Nøgletal'!C16)</f>
        <v>150961344.94613323</v>
      </c>
      <c r="H57" s="58" t="s">
        <v>3</v>
      </c>
      <c r="I57" s="1"/>
    </row>
    <row r="58" spans="1:9" x14ac:dyDescent="0.25">
      <c r="A58" s="1"/>
      <c r="B58" s="126" t="s">
        <v>151</v>
      </c>
      <c r="C58" s="127"/>
      <c r="D58" s="127"/>
      <c r="E58" s="127"/>
      <c r="F58" s="128"/>
      <c r="G58" s="71">
        <v>0</v>
      </c>
      <c r="H58" s="58" t="s">
        <v>3</v>
      </c>
      <c r="I58" s="1"/>
    </row>
    <row r="59" spans="1:9" x14ac:dyDescent="0.25">
      <c r="A59" s="1"/>
      <c r="B59" s="59"/>
      <c r="C59" s="60"/>
      <c r="D59" s="60"/>
      <c r="E59" s="60"/>
      <c r="F59" s="60"/>
      <c r="G59" s="60"/>
      <c r="H59" s="61"/>
      <c r="I59" s="1"/>
    </row>
    <row r="60" spans="1:9" x14ac:dyDescent="0.25">
      <c r="A60" s="1"/>
      <c r="B60" s="62"/>
      <c r="C60" s="62"/>
      <c r="D60" s="62"/>
      <c r="E60" s="62"/>
      <c r="F60" s="62"/>
      <c r="G60" s="62"/>
      <c r="H60" s="62"/>
      <c r="I60" s="1"/>
    </row>
    <row r="61" spans="1:9" x14ac:dyDescent="0.25">
      <c r="A61" s="1"/>
      <c r="B61" s="129" t="s">
        <v>169</v>
      </c>
      <c r="C61" s="130"/>
      <c r="D61" s="130"/>
      <c r="E61" s="130"/>
      <c r="F61" s="130"/>
      <c r="G61" s="130"/>
      <c r="H61" s="131"/>
      <c r="I61" s="1"/>
    </row>
    <row r="62" spans="1:9" x14ac:dyDescent="0.25">
      <c r="A62" s="1"/>
      <c r="B62" s="126" t="s">
        <v>232</v>
      </c>
      <c r="C62" s="127"/>
      <c r="D62" s="127"/>
      <c r="E62" s="127"/>
      <c r="F62" s="128"/>
      <c r="G62" s="57">
        <f>(G57-G58)*(1+'Fane 15. Nøgletal'!C16)</f>
        <v>163159021.61778077</v>
      </c>
      <c r="H62" s="58" t="s">
        <v>3</v>
      </c>
      <c r="I62" s="1"/>
    </row>
    <row r="63" spans="1:9" x14ac:dyDescent="0.25">
      <c r="A63" s="1"/>
      <c r="B63" s="126" t="s">
        <v>171</v>
      </c>
      <c r="C63" s="127"/>
      <c r="D63" s="127"/>
      <c r="E63" s="127"/>
      <c r="F63" s="128"/>
      <c r="G63" s="71">
        <v>0</v>
      </c>
      <c r="H63" s="58" t="s">
        <v>3</v>
      </c>
      <c r="I63" s="1"/>
    </row>
    <row r="64" spans="1:9" x14ac:dyDescent="0.25">
      <c r="A64" s="1"/>
      <c r="B64" s="59"/>
      <c r="C64" s="60"/>
      <c r="D64" s="60"/>
      <c r="E64" s="60"/>
      <c r="F64" s="60"/>
      <c r="G64" s="60"/>
      <c r="H64" s="61"/>
      <c r="I64" s="1"/>
    </row>
    <row r="65" spans="1:9" x14ac:dyDescent="0.25">
      <c r="A65" s="1"/>
      <c r="B65" s="62"/>
      <c r="C65" s="62"/>
      <c r="D65" s="62"/>
      <c r="E65" s="62"/>
      <c r="F65" s="62"/>
      <c r="G65" s="62"/>
      <c r="H65" s="62"/>
      <c r="I65" s="1"/>
    </row>
    <row r="66" spans="1:9" x14ac:dyDescent="0.25">
      <c r="A66" s="1"/>
      <c r="B66" s="129" t="s">
        <v>229</v>
      </c>
      <c r="C66" s="130"/>
      <c r="D66" s="130"/>
      <c r="E66" s="130"/>
      <c r="F66" s="130"/>
      <c r="G66" s="130"/>
      <c r="H66" s="131"/>
      <c r="I66" s="1"/>
    </row>
    <row r="67" spans="1:9" x14ac:dyDescent="0.25">
      <c r="A67" s="1"/>
      <c r="B67" s="126" t="s">
        <v>230</v>
      </c>
      <c r="C67" s="127"/>
      <c r="D67" s="127"/>
      <c r="E67" s="127"/>
      <c r="F67" s="128"/>
      <c r="G67" s="57">
        <f>(G62-G63)*(1+'Fane 15. Nøgletal'!C16)</f>
        <v>176342270.56449747</v>
      </c>
      <c r="H67" s="58" t="s">
        <v>3</v>
      </c>
      <c r="I67" s="1"/>
    </row>
    <row r="68" spans="1:9" x14ac:dyDescent="0.25">
      <c r="A68" s="1"/>
      <c r="B68" s="126" t="s">
        <v>231</v>
      </c>
      <c r="C68" s="127"/>
      <c r="D68" s="127"/>
      <c r="E68" s="127"/>
      <c r="F68" s="128"/>
      <c r="G68" s="71">
        <v>0</v>
      </c>
      <c r="H68" s="58" t="s">
        <v>3</v>
      </c>
      <c r="I68" s="1"/>
    </row>
    <row r="69" spans="1:9" x14ac:dyDescent="0.25">
      <c r="A69" s="1"/>
      <c r="B69" s="30"/>
      <c r="C69" s="31"/>
      <c r="D69" s="31"/>
      <c r="E69" s="31"/>
      <c r="F69" s="31"/>
      <c r="G69" s="31"/>
      <c r="H69" s="19"/>
      <c r="I69" s="1"/>
    </row>
    <row r="70" spans="1:9" x14ac:dyDescent="0.25">
      <c r="A70" s="1"/>
      <c r="B70" s="1"/>
      <c r="C70" s="1"/>
      <c r="D70" s="1"/>
      <c r="E70" s="1"/>
      <c r="F70" s="1"/>
      <c r="G70" s="1"/>
      <c r="H70" s="1"/>
      <c r="I70" s="1"/>
    </row>
    <row r="71" spans="1:9" x14ac:dyDescent="0.25">
      <c r="A71" s="1"/>
      <c r="B71" s="1"/>
      <c r="C71" s="1"/>
      <c r="D71" s="1"/>
      <c r="E71" s="1"/>
      <c r="F71" s="1"/>
      <c r="G71" s="1"/>
      <c r="H71" s="1"/>
      <c r="I71" s="1"/>
    </row>
  </sheetData>
  <sheetProtection algorithmName="SHA-512" hashValue="bepp1wv5ZY81zObxIMxRnm5mh8LNpHJiTRBBKoQe/iEtEJvHPtKQy3slk6lqSv0DZo3QU/Q5aZErKryuoGN5sg==" saltValue="FPjWoqNSKQxorCBZP/picQ==" spinCount="100000" sheet="1" objects="1" scenarios="1"/>
  <mergeCells count="45">
    <mergeCell ref="B66:H66"/>
    <mergeCell ref="B67:F67"/>
    <mergeCell ref="B68:F68"/>
    <mergeCell ref="B52:F52"/>
    <mergeCell ref="B56:H56"/>
    <mergeCell ref="B61:H61"/>
    <mergeCell ref="B62:F62"/>
    <mergeCell ref="B63:F63"/>
    <mergeCell ref="B45:F45"/>
    <mergeCell ref="B57:F57"/>
    <mergeCell ref="B58:F58"/>
    <mergeCell ref="B46:F46"/>
    <mergeCell ref="B51:F51"/>
    <mergeCell ref="B53:F53"/>
    <mergeCell ref="B50:H50"/>
    <mergeCell ref="B47:F47"/>
    <mergeCell ref="B24:F24"/>
    <mergeCell ref="B40:F40"/>
    <mergeCell ref="B32:F32"/>
    <mergeCell ref="B33:F33"/>
    <mergeCell ref="B39:F39"/>
    <mergeCell ref="B26:F26"/>
    <mergeCell ref="B27:F27"/>
    <mergeCell ref="B25:F25"/>
    <mergeCell ref="B30:H30"/>
    <mergeCell ref="B31:F31"/>
    <mergeCell ref="B35:F35"/>
    <mergeCell ref="B38:H38"/>
    <mergeCell ref="B34:F34"/>
    <mergeCell ref="B41:F41"/>
    <mergeCell ref="B44:H44"/>
    <mergeCell ref="B2:H3"/>
    <mergeCell ref="B20:F20"/>
    <mergeCell ref="B5:H5"/>
    <mergeCell ref="B6:F6"/>
    <mergeCell ref="B7:F7"/>
    <mergeCell ref="B10:H10"/>
    <mergeCell ref="B12:F12"/>
    <mergeCell ref="B11:F11"/>
    <mergeCell ref="B13:F13"/>
    <mergeCell ref="B14:F14"/>
    <mergeCell ref="B18:F18"/>
    <mergeCell ref="B23:H23"/>
    <mergeCell ref="B17:H17"/>
    <mergeCell ref="B19:F19"/>
  </mergeCells>
  <pageMargins left="0.7" right="0.7" top="0.75" bottom="0.75" header="0.3" footer="0.3"/>
  <pageSetup paperSize="9" orientation="portrait" r:id="rId1"/>
  <headerFooter>
    <oddFooter xml:space="preserve">&amp;C
&amp;R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85" zoomScaleNormal="100" zoomScalePageLayoutView="85" workbookViewId="0"/>
  </sheetViews>
  <sheetFormatPr defaultColWidth="9" defaultRowHeight="15" x14ac:dyDescent="0.25"/>
  <cols>
    <col min="1" max="1" width="7.85546875" style="2" customWidth="1"/>
    <col min="2" max="5" width="9" style="2"/>
    <col min="6" max="6" width="19.14062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6" t="s">
        <v>72</v>
      </c>
      <c r="C3" s="116"/>
      <c r="D3" s="116"/>
      <c r="E3" s="116"/>
      <c r="F3" s="116"/>
      <c r="G3" s="116"/>
      <c r="H3" s="1"/>
    </row>
    <row r="4" spans="1:8" ht="15" customHeight="1" x14ac:dyDescent="0.25">
      <c r="A4" s="1"/>
      <c r="B4" s="116"/>
      <c r="C4" s="116"/>
      <c r="D4" s="116"/>
      <c r="E4" s="116"/>
      <c r="F4" s="116"/>
      <c r="G4" s="116"/>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2" t="s">
        <v>10</v>
      </c>
      <c r="C8" s="133"/>
      <c r="D8" s="133"/>
      <c r="E8" s="133"/>
      <c r="F8" s="133"/>
      <c r="G8" s="134"/>
      <c r="H8" s="1"/>
    </row>
    <row r="9" spans="1:8" x14ac:dyDescent="0.25">
      <c r="A9" s="1"/>
      <c r="B9" s="145" t="s">
        <v>278</v>
      </c>
      <c r="C9" s="146"/>
      <c r="D9" s="146"/>
      <c r="E9" s="146"/>
      <c r="F9" s="147"/>
      <c r="G9" s="97">
        <v>0</v>
      </c>
      <c r="H9" s="1"/>
    </row>
    <row r="10" spans="1:8" x14ac:dyDescent="0.25">
      <c r="A10" s="1"/>
      <c r="B10" s="30"/>
      <c r="C10" s="31"/>
      <c r="D10" s="31"/>
      <c r="E10" s="31"/>
      <c r="F10" s="31"/>
      <c r="G10" s="19"/>
      <c r="H10" s="1"/>
    </row>
    <row r="11" spans="1:8" ht="33" customHeight="1" x14ac:dyDescent="0.25">
      <c r="A11" s="1"/>
      <c r="B11" s="142" t="s">
        <v>269</v>
      </c>
      <c r="C11" s="143"/>
      <c r="D11" s="143"/>
      <c r="E11" s="143"/>
      <c r="F11" s="143"/>
      <c r="G11" s="144"/>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TIK/4TaqV/2pZpYHpNgTPDLyscjipva3x7NBgTVIIydXiae8SlHN1/b/kzbZlq/5n7erTSdbTY0QfW2Ncr7Geg==" saltValue="Loe3x/3RJOMjmlynFk6YZ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(§19) </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2023-10-13T09:11:25Z</dcterms:modified>
</cp:coreProperties>
</file>