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Denne_projektmappe" defaultThemeVersion="124226"/>
  <mc:AlternateContent xmlns:mc="http://schemas.openxmlformats.org/markup-compatibility/2006">
    <mc:Choice Requires="x15">
      <x15ac:absPath xmlns:x15ac="http://schemas.microsoft.com/office/spreadsheetml/2010/11/ac" url="E:\VAND\Sagsbehandling\Spildevand\AQUADJURS AS (S003)\ØR2024\"/>
    </mc:Choice>
  </mc:AlternateContent>
  <xr:revisionPtr revIDLastSave="0" documentId="13_ncr:1_{02BCCB1D-1502-4DBC-B4A1-FCF573A10CD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42" r:id="rId4"/>
    <sheet name="Fane 2.4. Økonomisk ramme 2027" sheetId="4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32"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91029"/>
</workbook>
</file>

<file path=xl/calcChain.xml><?xml version="1.0" encoding="utf-8"?>
<calcChain xmlns="http://schemas.openxmlformats.org/spreadsheetml/2006/main">
  <c r="G16" i="43" l="1"/>
  <c r="G16" i="42"/>
  <c r="G16" i="15"/>
  <c r="E16" i="43"/>
  <c r="C16" i="43"/>
  <c r="E16" i="42"/>
  <c r="C16" i="42"/>
  <c r="E16" i="15"/>
  <c r="C16" i="15"/>
  <c r="G41" i="2" l="1"/>
  <c r="G24" i="2"/>
  <c r="E24" i="2"/>
  <c r="C24" i="2"/>
  <c r="G23" i="2"/>
  <c r="G16" i="19" l="1"/>
  <c r="C13" i="42" l="1"/>
  <c r="E19" i="2" l="1"/>
  <c r="C19" i="2"/>
  <c r="E44" i="36"/>
  <c r="G40" i="2" l="1"/>
  <c r="E48" i="36" l="1"/>
  <c r="E54" i="30"/>
  <c r="C54" i="30"/>
  <c r="G15" i="30"/>
  <c r="G12" i="30"/>
  <c r="G13" i="30"/>
  <c r="G14" i="30"/>
  <c r="G11" i="30"/>
  <c r="E15" i="30"/>
  <c r="C15" i="30"/>
  <c r="C11" i="30"/>
  <c r="G7" i="30"/>
  <c r="E7" i="30"/>
  <c r="G6" i="30"/>
  <c r="G5" i="30"/>
  <c r="C7" i="30"/>
  <c r="E17" i="20"/>
  <c r="E12" i="20"/>
  <c r="E11" i="20"/>
  <c r="E18" i="20"/>
  <c r="G31" i="20"/>
  <c r="E31" i="20"/>
  <c r="G25" i="20"/>
  <c r="E25" i="20"/>
  <c r="G19" i="20"/>
  <c r="G13" i="20"/>
  <c r="E18" i="39"/>
  <c r="C18" i="39"/>
  <c r="E12" i="39"/>
  <c r="C12" i="39"/>
  <c r="E19" i="37"/>
  <c r="C19" i="37"/>
  <c r="E11" i="37"/>
  <c r="G18" i="32"/>
  <c r="E18" i="32"/>
  <c r="I11" i="32"/>
  <c r="G17" i="19"/>
  <c r="C17" i="19"/>
  <c r="E17" i="19"/>
  <c r="E22" i="2" l="1"/>
  <c r="C22" i="2"/>
  <c r="E19" i="20"/>
  <c r="E13" i="20"/>
  <c r="G22" i="2" l="1"/>
  <c r="G13" i="15"/>
  <c r="G12" i="19"/>
  <c r="E16" i="19"/>
  <c r="C16" i="19"/>
  <c r="G13" i="43" l="1"/>
  <c r="E13" i="43"/>
  <c r="G13" i="42"/>
  <c r="E13" i="42"/>
  <c r="E13" i="15"/>
  <c r="E13" i="2"/>
  <c r="E15" i="2"/>
  <c r="G31" i="27"/>
  <c r="G28" i="27"/>
  <c r="G36" i="27"/>
  <c r="G34" i="27"/>
  <c r="G32" i="27"/>
  <c r="G26" i="27"/>
  <c r="G43" i="30" l="1"/>
  <c r="G37" i="30"/>
  <c r="G26" i="30"/>
  <c r="G20" i="30"/>
  <c r="E19" i="30"/>
  <c r="E21" i="30" l="1"/>
  <c r="E25" i="30" s="1"/>
  <c r="C19" i="30" l="1"/>
  <c r="E27" i="30"/>
  <c r="E36" i="30" s="1"/>
  <c r="G37" i="36"/>
  <c r="G31" i="36"/>
  <c r="G25" i="36"/>
  <c r="G19" i="36"/>
  <c r="G13" i="36"/>
  <c r="G12" i="36"/>
  <c r="G6" i="36"/>
  <c r="G7" i="36" s="1"/>
  <c r="C7" i="36"/>
  <c r="C11" i="36" s="1"/>
  <c r="E7" i="36"/>
  <c r="E11" i="36" s="1"/>
  <c r="E14" i="36" s="1"/>
  <c r="E18" i="36" s="1"/>
  <c r="E20" i="36" s="1"/>
  <c r="E24" i="36" s="1"/>
  <c r="E26" i="36" s="1"/>
  <c r="E30" i="36" s="1"/>
  <c r="E32" i="36" s="1"/>
  <c r="E36" i="36" s="1"/>
  <c r="E38" i="36" s="1"/>
  <c r="G32" i="19"/>
  <c r="G31" i="19"/>
  <c r="G30" i="19"/>
  <c r="G29" i="19"/>
  <c r="G24" i="19"/>
  <c r="G23" i="19"/>
  <c r="G22" i="19"/>
  <c r="G21" i="19"/>
  <c r="G11" i="19"/>
  <c r="G13" i="19"/>
  <c r="G14" i="19"/>
  <c r="G10" i="19"/>
  <c r="G26" i="32"/>
  <c r="I25" i="32"/>
  <c r="I24" i="32"/>
  <c r="I23" i="32"/>
  <c r="I17" i="32"/>
  <c r="I16" i="32"/>
  <c r="I18" i="32" s="1"/>
  <c r="I10" i="32"/>
  <c r="I9" i="32"/>
  <c r="E26" i="32"/>
  <c r="G30" i="41"/>
  <c r="E26" i="40"/>
  <c r="E22" i="40"/>
  <c r="E27" i="40" s="1"/>
  <c r="J16" i="11"/>
  <c r="H16" i="11"/>
  <c r="F15" i="11"/>
  <c r="F16" i="11" s="1"/>
  <c r="E17" i="37"/>
  <c r="C17" i="37"/>
  <c r="E17" i="39"/>
  <c r="C17" i="39"/>
  <c r="E29" i="20"/>
  <c r="E30" i="20"/>
  <c r="E23" i="20"/>
  <c r="E24" i="20"/>
  <c r="E17" i="29"/>
  <c r="E18" i="29" s="1"/>
  <c r="C17" i="29"/>
  <c r="C18" i="29" s="1"/>
  <c r="E18" i="21"/>
  <c r="E19" i="21" s="1"/>
  <c r="C18" i="21"/>
  <c r="C19" i="21" s="1"/>
  <c r="E26" i="2"/>
  <c r="E29" i="2"/>
  <c r="E31" i="2" s="1"/>
  <c r="E36" i="2"/>
  <c r="E38" i="2"/>
  <c r="C20" i="37" l="1"/>
  <c r="E10" i="2" s="1"/>
  <c r="E20" i="37"/>
  <c r="E11" i="2" s="1"/>
  <c r="E49" i="36" s="1"/>
  <c r="E54" i="36" s="1"/>
  <c r="I26" i="32"/>
  <c r="G11" i="36"/>
  <c r="G14" i="36" s="1"/>
  <c r="E42" i="36"/>
  <c r="C14" i="36"/>
  <c r="C18" i="36" s="1"/>
  <c r="C20" i="36" s="1"/>
  <c r="C24" i="36" s="1"/>
  <c r="C26" i="36" s="1"/>
  <c r="C30" i="36" s="1"/>
  <c r="C32" i="36" s="1"/>
  <c r="C36" i="36" s="1"/>
  <c r="C38" i="36" s="1"/>
  <c r="E38" i="30"/>
  <c r="E42" i="30" s="1"/>
  <c r="E55" i="36" l="1"/>
  <c r="E59" i="36"/>
  <c r="G18" i="36"/>
  <c r="G20" i="36" s="1"/>
  <c r="C42" i="36"/>
  <c r="G30" i="36"/>
  <c r="G32" i="36" s="1"/>
  <c r="G24" i="36"/>
  <c r="E9" i="2"/>
  <c r="E44" i="30"/>
  <c r="E48" i="30" s="1"/>
  <c r="G36" i="36"/>
  <c r="G42" i="36" l="1"/>
  <c r="E60" i="36"/>
  <c r="E64" i="36" s="1"/>
  <c r="I33" i="32"/>
  <c r="E34" i="2" l="1"/>
  <c r="C34" i="2"/>
  <c r="E65" i="36"/>
  <c r="C38" i="27"/>
  <c r="G38" i="27" s="1"/>
  <c r="C38" i="2"/>
  <c r="G38" i="2" s="1"/>
  <c r="G34" i="2" l="1"/>
  <c r="G18" i="41"/>
  <c r="C11" i="29" l="1"/>
  <c r="E11" i="29"/>
  <c r="E11" i="39"/>
  <c r="C11" i="39"/>
  <c r="J11" i="11"/>
  <c r="H11" i="11"/>
  <c r="G29" i="20" l="1"/>
  <c r="G23" i="20"/>
  <c r="G17" i="20"/>
  <c r="G11" i="20"/>
  <c r="F10" i="11" l="1"/>
  <c r="F11" i="11" s="1"/>
  <c r="E12" i="29" l="1"/>
  <c r="E14" i="2" s="1"/>
  <c r="C12" i="29"/>
  <c r="C12" i="21" l="1"/>
  <c r="C13" i="21" s="1"/>
  <c r="C12" i="2" l="1"/>
  <c r="C15" i="2" l="1"/>
  <c r="G15" i="2" s="1"/>
  <c r="C14" i="2"/>
  <c r="G14" i="2" s="1"/>
  <c r="E28" i="2" l="1"/>
  <c r="E30" i="2" l="1"/>
  <c r="E32" i="2" s="1"/>
  <c r="C28" i="2"/>
  <c r="C30" i="2" l="1"/>
  <c r="G30" i="2" s="1"/>
  <c r="G28" i="2"/>
  <c r="C29" i="2"/>
  <c r="C31" i="2" l="1"/>
  <c r="G31" i="2" s="1"/>
  <c r="G29" i="2"/>
  <c r="C32" i="2" l="1"/>
  <c r="G32" i="2"/>
  <c r="G24" i="20"/>
  <c r="G30" i="20" l="1"/>
  <c r="E16" i="40" l="1"/>
  <c r="E12" i="40" l="1"/>
  <c r="G18" i="20" l="1"/>
  <c r="G12" i="20"/>
  <c r="C26" i="2" l="1"/>
  <c r="G26" i="2" s="1"/>
  <c r="E17" i="40"/>
  <c r="C36" i="2" s="1"/>
  <c r="G36" i="2" l="1"/>
  <c r="E12" i="21"/>
  <c r="E13" i="21" s="1"/>
  <c r="E12" i="2" s="1"/>
  <c r="E55" i="30" l="1"/>
  <c r="E16" i="2"/>
  <c r="E17" i="2" s="1"/>
  <c r="E50" i="30"/>
  <c r="G12" i="2"/>
  <c r="C13" i="2"/>
  <c r="G13" i="2" s="1"/>
  <c r="E56" i="30" l="1"/>
  <c r="E18" i="2" s="1"/>
  <c r="E60" i="30"/>
  <c r="C21" i="30"/>
  <c r="G19" i="30"/>
  <c r="G21" i="30" s="1"/>
  <c r="G26" i="36"/>
  <c r="C25" i="30" l="1"/>
  <c r="G25" i="30" l="1"/>
  <c r="G27" i="30" s="1"/>
  <c r="C27" i="30"/>
  <c r="C10" i="37"/>
  <c r="C12" i="37" s="1"/>
  <c r="C13" i="37" s="1"/>
  <c r="C10" i="2" l="1"/>
  <c r="C55" i="30" s="1"/>
  <c r="C56" i="30" l="1"/>
  <c r="C18" i="2" s="1"/>
  <c r="C60" i="30"/>
  <c r="G55" i="30"/>
  <c r="G56" i="30" s="1"/>
  <c r="G49" i="30"/>
  <c r="G10" i="2"/>
  <c r="G38" i="36"/>
  <c r="C36" i="30" l="1"/>
  <c r="E10" i="37"/>
  <c r="E12" i="37" s="1"/>
  <c r="E13" i="37" s="1"/>
  <c r="G36" i="30" l="1"/>
  <c r="G38" i="30" s="1"/>
  <c r="C38" i="30"/>
  <c r="C42" i="30" s="1"/>
  <c r="C44" i="30" s="1"/>
  <c r="G42" i="30" l="1"/>
  <c r="G44" i="30" s="1"/>
  <c r="C11" i="2"/>
  <c r="G11" i="2" l="1"/>
  <c r="C49" i="36"/>
  <c r="G49" i="36" s="1"/>
  <c r="C43" i="36"/>
  <c r="C48" i="30"/>
  <c r="C50" i="30" l="1"/>
  <c r="G48" i="30"/>
  <c r="G50" i="30" s="1"/>
  <c r="E61" i="30"/>
  <c r="E20" i="2"/>
  <c r="E41" i="2" s="1"/>
  <c r="C44" i="36"/>
  <c r="C48" i="36" s="1"/>
  <c r="C54" i="36" s="1"/>
  <c r="G43" i="36"/>
  <c r="G44" i="36" s="1"/>
  <c r="C55" i="36" l="1"/>
  <c r="C59" i="36"/>
  <c r="E12" i="15"/>
  <c r="E69" i="30"/>
  <c r="E9" i="15"/>
  <c r="E10" i="15" s="1"/>
  <c r="E70" i="30"/>
  <c r="E12" i="42" s="1"/>
  <c r="G48" i="36"/>
  <c r="G50" i="36" s="1"/>
  <c r="G19" i="2"/>
  <c r="C9" i="2"/>
  <c r="C16" i="2" s="1"/>
  <c r="G54" i="30"/>
  <c r="E74" i="30" l="1"/>
  <c r="E75" i="30" s="1"/>
  <c r="E12" i="43" s="1"/>
  <c r="G59" i="36"/>
  <c r="C60" i="36"/>
  <c r="C64" i="36" s="1"/>
  <c r="G18" i="2"/>
  <c r="G16" i="2"/>
  <c r="G9" i="2"/>
  <c r="G60" i="30"/>
  <c r="G61" i="30" s="1"/>
  <c r="C61" i="30"/>
  <c r="C12" i="15" l="1"/>
  <c r="G12" i="15" s="1"/>
  <c r="C69" i="30"/>
  <c r="C17" i="2"/>
  <c r="G17" i="2" s="1"/>
  <c r="G20" i="2" s="1"/>
  <c r="C70" i="30"/>
  <c r="C12" i="42" s="1"/>
  <c r="G12" i="42" s="1"/>
  <c r="G54" i="36"/>
  <c r="G55" i="36" s="1"/>
  <c r="E11" i="15"/>
  <c r="E14" i="15" s="1"/>
  <c r="G60" i="36"/>
  <c r="C13" i="15" s="1"/>
  <c r="C74" i="30" l="1"/>
  <c r="C65" i="36"/>
  <c r="G64" i="36"/>
  <c r="G65" i="36" s="1"/>
  <c r="C13" i="43" s="1"/>
  <c r="C20" i="2"/>
  <c r="C41" i="2" s="1"/>
  <c r="G9" i="15"/>
  <c r="G10" i="15" s="1"/>
  <c r="G69" i="30"/>
  <c r="G70" i="30" s="1"/>
  <c r="E23" i="15"/>
  <c r="E9" i="42"/>
  <c r="E10" i="42" s="1"/>
  <c r="C75" i="30" l="1"/>
  <c r="C12" i="43" s="1"/>
  <c r="G12" i="43" s="1"/>
  <c r="G74" i="30"/>
  <c r="G75" i="30" s="1"/>
  <c r="C9" i="15"/>
  <c r="C10" i="15" s="1"/>
  <c r="E11" i="42"/>
  <c r="C11" i="15" l="1"/>
  <c r="G11" i="15" s="1"/>
  <c r="G14" i="15" s="1"/>
  <c r="E14" i="42"/>
  <c r="E9" i="43" s="1"/>
  <c r="E10" i="43" s="1"/>
  <c r="C14" i="15" l="1"/>
  <c r="C9" i="42" s="1"/>
  <c r="C10" i="42" s="1"/>
  <c r="G10" i="42" s="1"/>
  <c r="E23" i="42"/>
  <c r="G23" i="15"/>
  <c r="G9" i="42"/>
  <c r="E11" i="43"/>
  <c r="E14" i="43" s="1"/>
  <c r="E23" i="43" s="1"/>
  <c r="C23" i="15" l="1"/>
  <c r="C11" i="42"/>
  <c r="G11" i="42" l="1"/>
  <c r="G14" i="42" s="1"/>
  <c r="G23" i="42" s="1"/>
  <c r="C14" i="42"/>
  <c r="C23" i="42" s="1"/>
  <c r="C9" i="43" l="1"/>
  <c r="G9" i="43"/>
  <c r="G10" i="43" s="1"/>
  <c r="C10" i="43" l="1"/>
  <c r="C11" i="43" s="1"/>
  <c r="C14" i="43" l="1"/>
  <c r="C23" i="43" s="1"/>
  <c r="G11" i="43"/>
  <c r="G14" i="43" s="1"/>
  <c r="G23" i="43" s="1"/>
</calcChain>
</file>

<file path=xl/sharedStrings.xml><?xml version="1.0" encoding="utf-8"?>
<sst xmlns="http://schemas.openxmlformats.org/spreadsheetml/2006/main" count="1220" uniqueCount="314">
  <si>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</si>
  <si>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</si>
  <si>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</si>
  <si>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</si>
  <si>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</si>
  <si>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</si>
  <si>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</si>
  <si>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</si>
  <si>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</si>
  <si>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</si>
  <si>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</si>
  <si>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</si>
  <si>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</si>
  <si>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</si>
  <si>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</si>
  <si>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</si>
  <si>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</si>
  <si>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</si>
  <si>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</si>
  <si>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</si>
  <si>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</si>
  <si>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</si>
  <si>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</si>
  <si>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</si>
  <si>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</si>
  <si>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</si>
  <si>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</si>
  <si>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</si>
  <si>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</si>
  <si>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</si>
  <si>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</si>
  <si>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</si>
  <si>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</si>
  <si>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</si>
  <si>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</si>
  <si>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</si>
  <si>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</si>
  <si>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</si>
  <si>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</si>
  <si>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</si>
  <si>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</si>
  <si>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</si>
  <si>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</si>
  <si>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</si>
  <si>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</si>
  <si>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</si>
  <si>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</si>
  <si>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</si>
  <si>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</si>
  <si>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</si>
  <si>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</si>
  <si>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</si>
  <si>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</si>
  <si>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</si>
  <si>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</si>
  <si>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</si>
  <si>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</si>
  <si>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</si>
  <si>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</si>
  <si>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</si>
  <si>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</si>
  <si>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</si>
  <si>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</si>
  <si>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</si>
  <si>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</si>
  <si>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</si>
  <si>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</si>
  <si>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</si>
  <si>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</si>
  <si>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</si>
  <si>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</si>
  <si>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</si>
  <si>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</si>
  <si>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</si>
  <si>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</si>
  <si>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</si>
  <si>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</si>
  <si>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</si>
  <si>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</si>
  <si>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</si>
  <si>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</si>
  <si>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</si>
  <si>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</si>
  <si>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</si>
  <si>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</si>
  <si>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</si>
  <si>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</si>
  <si>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</si>
  <si>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</si>
  <si>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</si>
  <si>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</si>
  <si>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</si>
  <si>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</si>
  <si>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</si>
  <si>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</si>
  <si>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</si>
  <si>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</si>
  <si>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</si>
  <si>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</si>
  <si>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</si>
  <si>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</si>
  <si>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</si>
  <si>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</si>
  <si>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</si>
  <si>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</si>
  <si>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</si>
  <si>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</si>
  <si>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</si>
  <si>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</si>
  <si>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</si>
  <si>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</si>
  <si>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</si>
  <si>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</si>
  <si>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</si>
  <si>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</si>
  <si>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</si>
  <si>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</si>
  <si>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</si>
  <si>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</si>
  <si>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</si>
  <si>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</si>
  <si>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</si>
  <si>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Beskrivelse af tilknyttet virksomhed</t>
  </si>
  <si>
    <t>Tilknyttet virksomhed</t>
  </si>
  <si>
    <t>Prisudvikling til brug for nye omkostninger i ØR2021</t>
  </si>
  <si>
    <t>Nye anlægsomkostninger til de økonomiske rammer for 2021</t>
  </si>
  <si>
    <t>Base for anlægsomkostninger til de vejledende økonomiske rammer for 2024</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</si>
  <si>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</si>
  <si>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</si>
  <si>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</si>
  <si>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</si>
  <si>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</si>
  <si>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</si>
  <si>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Generelt effektiviseringskrav til driftsomkostninger i de vejledende økonomiske rammer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</si>
  <si>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</si>
  <si>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</si>
  <si>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</si>
  <si>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</si>
  <si>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</si>
  <si>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</si>
  <si>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</si>
  <si>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</si>
  <si>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</si>
  <si>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</si>
  <si>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</si>
  <si>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</si>
  <si>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</si>
  <si>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</si>
  <si>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</si>
  <si>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</si>
  <si>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</si>
  <si>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</si>
  <si>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</si>
  <si>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</si>
  <si>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</si>
  <si>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 xml:space="preserve">Note: Opgørelsen af over/underækningen er taget fra jeres tidligere fremsendte økonomiske rammer og statusmeddelelser. I kan derfor ikke komme med høringssvar til denne opgørelse. </t>
  </si>
  <si>
    <t>Kontrol med overholdelse af den økonomiske ramme</t>
  </si>
  <si>
    <t>Vejledende økonomisk ramme for 2026</t>
  </si>
  <si>
    <t>Omkostninger i ØR2022</t>
  </si>
  <si>
    <t>Kontrol af den økonomiske ramme for 2021</t>
  </si>
  <si>
    <t>Korrektion af den økonomiske ramme for 2021</t>
  </si>
  <si>
    <t>Generelt effektiviseringskrav til driftsomkostninger i de vejledende økonomiske rammer for 2026</t>
  </si>
  <si>
    <t>Base for anlægsomkostninger til de vejledende økonomiske rammer for 2026</t>
  </si>
  <si>
    <t>Vejledende generelt effektiviseringskrav til anlægsomkostningerne i ØR26</t>
  </si>
  <si>
    <t>Tillæg til den økonomiske ramme for 2026</t>
  </si>
  <si>
    <t>Over/underdækning i 2020</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</si>
  <si>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</si>
  <si>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</si>
  <si>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</si>
  <si>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</si>
  <si>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</si>
  <si>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</si>
  <si>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 i alt</t>
  </si>
  <si>
    <t>Generelt effektiviseringskrav til anlægsomkostninger i de økonomiske rammer for 2023</t>
  </si>
  <si>
    <t>Prisudvikling til brug for ØR2023-2024</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</si>
  <si>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</si>
  <si>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</si>
  <si>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</si>
  <si>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</si>
  <si>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</si>
  <si>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</si>
  <si>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</si>
  <si>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Vejledende økonomisk ramme for 2024</t>
  </si>
  <si>
    <t xml:space="preserve">Anlægsprojekter (§ 19) </t>
  </si>
  <si>
    <t>Effektiviseringskrav (generelt og individuelt) - Drift</t>
  </si>
  <si>
    <t>Effektiviseringskrav (generelt og individuelt) - Anlæg</t>
  </si>
  <si>
    <t>Generelt effektiviseringskrav til driftsomkostninger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</si>
  <si>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</si>
  <si>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</si>
  <si>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</si>
  <si>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</si>
  <si>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</si>
  <si>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</si>
  <si>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</si>
  <si>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</si>
  <si>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</si>
  <si>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</si>
  <si>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</si>
  <si>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</si>
  <si>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</si>
  <si>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</si>
  <si>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</si>
  <si>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</si>
  <si>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</si>
  <si>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</si>
  <si>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</si>
  <si>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 indregning i de økonomiske rammer for 2024-2027</t>
  </si>
  <si>
    <t>Spildevandsafgift</t>
  </si>
  <si>
    <t>Afgift til Forsyningssekretariatet</t>
  </si>
  <si>
    <t>Køb af ydelser og produkter fra andre vandselskaber reguleret af vandsektorloven</t>
  </si>
  <si>
    <t>Ejendomsskatter</t>
  </si>
  <si>
    <t>Undersøgelsesudgifter i forbindelse med fusion</t>
  </si>
  <si>
    <t>Ingen tilknyttet virksomhed under hovedvirksomheden</t>
  </si>
  <si>
    <t xml:space="preserve">Ingen anlægsprojekter </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</si>
  <si>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</si>
  <si>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</si>
  <si>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</si>
  <si>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</si>
  <si>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</si>
  <si>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</si>
  <si>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</si>
  <si>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</si>
  <si>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 xml:space="preserve">Ingen engangstillæg </t>
  </si>
  <si>
    <t>AQUADJURS A/S</t>
  </si>
  <si>
    <t>Syddjurs Spildevand A/S</t>
  </si>
  <si>
    <t>Samlet</t>
  </si>
  <si>
    <t>Tilknyttet virksomhed under hovedvirksomheden for AQUADJURS A/S</t>
  </si>
  <si>
    <t>Tilknyttet virksomhed under hovedvirksomheden for Syddjurs Spildevand A/S</t>
  </si>
  <si>
    <t>Nye varige tillæg for AQUADJURS A/S</t>
  </si>
  <si>
    <t>Nye varige tillæg for Syddjurs Spildevand A/S</t>
  </si>
  <si>
    <t>Byggemodninger</t>
  </si>
  <si>
    <t>Anlægsprojekter igangsat senest den 1. marts 2016 for AQUADJURS A/S</t>
  </si>
  <si>
    <t>Anlægsprojekter igangsat senest den 1. marts 2016 for Syddjurs Spildevand A/S</t>
  </si>
  <si>
    <t>Tilbagebetaling af indtægter som følge af skattesagen (jf. § 18 stk. 6) for AQUADJURS A/S</t>
  </si>
  <si>
    <t>Tilbagebetaling af indtægter som følge af skattesagen (jf. § 18 stk. 6) for Syddjurs Spildevand A/S</t>
  </si>
  <si>
    <t>Individuelt effektiviseringskrav for AQUADJURS A/S</t>
  </si>
  <si>
    <t>Individuelt effektiviseringskrav for Syddjurs Spildevand A/S</t>
  </si>
  <si>
    <t>Generelt effektiviseringskrav til anlægsomkostninger i de økonomiske rammer for 2024</t>
  </si>
  <si>
    <t>Generelt effektiviseringskrav til anlægsomkostninger i de økonomiske rammer for 2025</t>
  </si>
  <si>
    <t>Generelt effektiviseringskrav til anlægsomkostninger i de økonomiske rammer for 2026</t>
  </si>
  <si>
    <t>Ikke-påvirkelige omkostninger i alt</t>
  </si>
  <si>
    <t>Resterende ikke-påvirkelige omkostninger</t>
  </si>
  <si>
    <t>AquaDjurs A/S (Samlet)</t>
  </si>
  <si>
    <t>- Samhandel mellem de fusionerende selskaber</t>
  </si>
  <si>
    <t>Korrektion af den økonomiske ramme for 2022</t>
  </si>
  <si>
    <t>Justering af den økonomiske ramme</t>
  </si>
  <si>
    <t>Fane 3: Videreførte omkostninger fra den økonomiske ramme for 2023</t>
  </si>
  <si>
    <t xml:space="preserve">Note: Denne opgørelse er taget fra jeres økonomiske ramme for 2023. I kan derfor ikke komme med høringssvar til denne opgørelse. </t>
  </si>
  <si>
    <t>Oversigt over den økonomiske ramme for 2023</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</si>
  <si>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</si>
  <si>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</si>
  <si>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</si>
  <si>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</si>
  <si>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</si>
  <si>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Nye varige driftsomkostninger til de økonomiske rammer for 2024</t>
  </si>
  <si>
    <t>Generelt effektiviseringskrav til driftsomkostningerne i ØR24</t>
  </si>
  <si>
    <t>Base for driftsomkostninger til de økonomiske rammer for 2025</t>
  </si>
  <si>
    <t>Generelt effektiviseringskrav til driftsomkostningerne i ØR25</t>
  </si>
  <si>
    <t>Base for driftsomkostninger til de økonomiske rammer for 2026</t>
  </si>
  <si>
    <t>Generelt effektiviseringskrav til driftsomkostningerne i ØR26</t>
  </si>
  <si>
    <t>Generelt effektiviseringskrav til driftsomkostninger i de vejledende økonomiske rammer for 2027</t>
  </si>
  <si>
    <t>Base for driftsomkostninger til de økonomiske rammer for 2027</t>
  </si>
  <si>
    <t>Generelt effektiviseringskrav til driftsomkostningerne i ØR27</t>
  </si>
  <si>
    <t>Note: Beregningen af jeres individuelle effektiviseringskrav fremgår af metodepapir samt bilag til benchmarkingmodellen 2024.</t>
  </si>
  <si>
    <t>Individuelt effektiviseringskrav til de økonomiske rammer for 2024-2025</t>
  </si>
  <si>
    <t>Faktiske ikke-påvirkelige omkostninger i 2022</t>
  </si>
  <si>
    <t>Ikke-påvirkelige omkostninger i 2022-prisniveau</t>
  </si>
  <si>
    <t>Ikke-påvirkelige omkostninger i 2024-prisniveau</t>
  </si>
  <si>
    <t>Prisudvikling til brug for ØR2024-2025</t>
  </si>
  <si>
    <t>Generelt effektiviseringskrav til brug for anlægsomkostninger i ØR2024</t>
  </si>
  <si>
    <t>Tillæg til den økonomiske ramme for 2027</t>
  </si>
  <si>
    <t>Fane 7: Kontrol med overholdelse af den økonomiske ramme for 2022</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</si>
  <si>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</si>
  <si>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</si>
  <si>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</si>
  <si>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</si>
  <si>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</si>
  <si>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</si>
  <si>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</si>
  <si>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</si>
  <si>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</si>
  <si>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</si>
  <si>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 for 2022</t>
  </si>
  <si>
    <t>Faktisk periodevis driftsomkostning i 2022</t>
  </si>
  <si>
    <t>Korrektion af periodevise driftsomkostninger i de økonomiske rammer for 2022 for AQUADJURS A/S</t>
  </si>
  <si>
    <t>Tidligere godkendt tillæg indregnet i den økonomiske ramme for 2022</t>
  </si>
  <si>
    <t>Faktisk omkostning til medfinansiering af klimatilpasningsprojekter i 2022</t>
  </si>
  <si>
    <t>Korrektioner af den økonomiske ramme for 2022 i alt</t>
  </si>
  <si>
    <t>Korrektion af periodevise driftsomkostninger i de økonomiske rammer for 2022 for Syddjurs Spildevand A/S</t>
  </si>
  <si>
    <t>Forøgelse af håndteret spildevandsmængde</t>
  </si>
  <si>
    <t>Nye tillæg i alt i 2023-prisniveau</t>
  </si>
  <si>
    <t>Engangstillæg til de økonomiske rammer for 2024 for AQUADJURS A/S</t>
  </si>
  <si>
    <t>Engangstillæg til de økonomiske rammer for 2024 for Syddjurs Spildevand A/S</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</si>
  <si>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</si>
  <si>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</si>
  <si>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</si>
  <si>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</si>
  <si>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</si>
  <si>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</si>
  <si>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 for AQUADJURS A/S</t>
  </si>
  <si>
    <t>Bortfald eller nedsættelse i alt i 2023-prisniveau</t>
  </si>
  <si>
    <t>Bortfald eller nedsættelse fra og med de økonomiske rammer for 2024 for Syddjurs Spildevand A/S</t>
  </si>
  <si>
    <t>Fane 2.1: Samlet økonomisk ramme for 2024</t>
  </si>
  <si>
    <t>Nye varige anlægsomkostninger i de økonomiske rammer for 2024</t>
  </si>
  <si>
    <t>Generelt effektiviseringskrav til anlægsomkostningerne i ØR24</t>
  </si>
  <si>
    <t>Generelt effektiviseringskrav til anlægsomkostninger i de økonomiske rammer for 2027</t>
  </si>
  <si>
    <t>Base for anlægsomkostninger til de vejledende økonomiske rammer for 2027</t>
  </si>
  <si>
    <t>Vejledende generelt effektiviseringskrav til anlægsomkostningerne i ØR27</t>
  </si>
  <si>
    <t>Justering af den økonomiske ramme for stigende el-omkostninger</t>
  </si>
  <si>
    <t>Fane 2.2: Samlet økonomisk ramme for 2025</t>
  </si>
  <si>
    <t>Fane 2.2: Samlet økonomisk ramme for 2026</t>
  </si>
  <si>
    <t>Fane 2.2: Samlet økonomisk ramme for 2027</t>
  </si>
  <si>
    <t xml:space="preserve"> - Samhandel mellem de fusionerede selskaber</t>
  </si>
  <si>
    <t>- Samhandel mellem de fusionerede selskaber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</si>
</sst>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
    <numFmt numFmtId="166"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2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3" fontId="8" fillId="0" borderId="1" xfId="0"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2" fillId="2" borderId="0" xfId="0" applyFont="1" applyFill="1" applyAlignment="1" applyProtection="1">
      <alignment horizontal="center" vertical="center"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applyFont="1" applyFill="1" applyBorder="1" applyAlignment="1" applyProtection="1"/>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0" fontId="0" fillId="2" borderId="0" xfId="0" applyFill="1" applyAlignment="1" applyProtection="1">
      <alignment wrapText="1"/>
    </xf>
    <xf numFmtId="0" fontId="8" fillId="8" borderId="11" xfId="0" applyFont="1" applyFill="1" applyBorder="1" applyAlignment="1" applyProtection="1">
      <alignment wrapText="1"/>
    </xf>
    <xf numFmtId="3" fontId="8" fillId="8" borderId="13" xfId="0" applyNumberFormat="1" applyFont="1" applyFill="1" applyBorder="1" applyAlignment="1" applyProtection="1">
      <alignment wrapText="1"/>
    </xf>
    <xf numFmtId="0" fontId="8" fillId="8" borderId="13" xfId="0" applyFont="1" applyFill="1" applyBorder="1" applyAlignment="1" applyProtection="1">
      <alignment wrapText="1"/>
    </xf>
    <xf numFmtId="0" fontId="8" fillId="8" borderId="14" xfId="0" applyFont="1" applyFill="1" applyBorder="1" applyProtection="1"/>
    <xf numFmtId="3" fontId="8" fillId="8" borderId="14" xfId="0" applyNumberFormat="1" applyFont="1" applyFill="1" applyBorder="1" applyProtection="1"/>
    <xf numFmtId="0" fontId="8" fillId="4" borderId="14" xfId="0" applyFont="1" applyFill="1" applyBorder="1" applyProtection="1"/>
    <xf numFmtId="3" fontId="8" fillId="4" borderId="10" xfId="0" applyNumberFormat="1" applyFont="1" applyFill="1" applyBorder="1" applyAlignment="1" applyProtection="1">
      <alignment horizontal="right"/>
    </xf>
    <xf numFmtId="0" fontId="8" fillId="4" borderId="7" xfId="0" applyFont="1" applyFill="1" applyBorder="1" applyAlignment="1" applyProtection="1">
      <alignment wrapText="1"/>
    </xf>
    <xf numFmtId="0" fontId="8" fillId="4" borderId="12" xfId="0" applyFont="1" applyFill="1" applyBorder="1" applyAlignment="1" applyProtection="1">
      <alignment wrapText="1"/>
    </xf>
    <xf numFmtId="0" fontId="8" fillId="4" borderId="11" xfId="0" applyFont="1" applyFill="1" applyBorder="1" applyAlignment="1" applyProtection="1"/>
    <xf numFmtId="166" fontId="8" fillId="8" borderId="1" xfId="1" applyNumberFormat="1" applyFont="1" applyFill="1" applyBorder="1" applyProtection="1"/>
    <xf numFmtId="0" fontId="8" fillId="8" borderId="6"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3" xfId="0"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6" xfId="0" applyFont="1" applyFill="1" applyBorder="1" applyAlignment="1" applyProtection="1">
      <alignment wrapText="1"/>
    </xf>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4" borderId="1" xfId="0" applyFont="1" applyFill="1" applyBorder="1" applyAlignment="1" applyProtection="1">
      <alignment horizontal="left" wrapText="1"/>
    </xf>
    <xf numFmtId="166" fontId="7" fillId="3" borderId="6" xfId="1" applyNumberFormat="1" applyFont="1" applyFill="1" applyBorder="1" applyAlignment="1" applyProtection="1"/>
    <xf numFmtId="0" fontId="0" fillId="0" borderId="0" xfId="0" applyAlignment="1" applyProtection="1">
      <alignment wrapText="1"/>
    </xf>
    <xf numFmtId="3" fontId="8" fillId="4" borderId="1" xfId="0" applyNumberFormat="1" applyFont="1" applyFill="1" applyBorder="1" applyAlignment="1" applyProtection="1">
      <alignment wrapText="1"/>
    </xf>
    <xf numFmtId="0" fontId="8" fillId="4" borderId="8" xfId="0" applyFont="1" applyFill="1" applyBorder="1" applyAlignment="1" applyProtection="1">
      <alignment horizontal="left"/>
    </xf>
    <xf numFmtId="3" fontId="8" fillId="4" borderId="14" xfId="0" applyNumberFormat="1" applyFont="1" applyFill="1" applyBorder="1" applyProtection="1"/>
    <xf numFmtId="0" fontId="8" fillId="4" borderId="14" xfId="0" applyFont="1" applyFill="1" applyBorder="1" applyAlignment="1" applyProtection="1">
      <alignment wrapText="1"/>
    </xf>
    <xf numFmtId="0" fontId="8" fillId="0" borderId="1" xfId="0" applyFont="1" applyFill="1" applyBorder="1" applyProtection="1"/>
    <xf numFmtId="0" fontId="2" fillId="2" borderId="7" xfId="0" applyFont="1" applyFill="1" applyBorder="1" applyAlignment="1" applyProtection="1">
      <alignment horizontal="center"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applyFont="1" applyFill="1" applyBorder="1" applyAlignment="1" applyProtection="1">
      <alignment horizontal="left" wrapText="1"/>
    </xf>
    <xf numFmtId="0" fontId="7" fillId="3"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2" xfId="0" applyFont="1" applyFill="1" applyBorder="1" applyAlignment="1" applyProtection="1">
      <alignment horizontal="left" wrapText="1"/>
    </xf>
    <xf numFmtId="3" fontId="8" fillId="4" borderId="2" xfId="0" applyNumberFormat="1" applyFont="1" applyFill="1" applyBorder="1" applyAlignment="1" applyProtection="1">
      <alignment wrapText="1"/>
    </xf>
    <xf numFmtId="0" fontId="7" fillId="3" borderId="2" xfId="0" applyFont="1" applyFill="1" applyBorder="1" applyAlignment="1" applyProtection="1">
      <alignment horizontal="left" wrapText="1"/>
    </xf>
    <xf numFmtId="3" fontId="7" fillId="3" borderId="2" xfId="0" applyNumberFormat="1" applyFont="1" applyFill="1" applyBorder="1" applyAlignment="1" applyProtection="1">
      <alignment wrapText="1"/>
    </xf>
    <xf numFmtId="0" fontId="7" fillId="3" borderId="1" xfId="0" applyFont="1" applyFill="1" applyBorder="1" applyAlignment="1" applyProtection="1">
      <alignment wrapText="1"/>
    </xf>
    <xf numFmtId="166" fontId="8" fillId="0" borderId="6" xfId="1" applyNumberFormat="1" applyFont="1" applyFill="1" applyBorder="1" applyAlignment="1" applyProtection="1"/>
    <xf numFmtId="166" fontId="8" fillId="8" borderId="1" xfId="1" applyNumberFormat="1" applyFont="1" applyFill="1" applyBorder="1" applyAlignment="1" applyProtection="1">
      <alignment wrapText="1"/>
    </xf>
    <xf numFmtId="0" fontId="8" fillId="0" borderId="1" xfId="0" applyFont="1" applyFill="1" applyBorder="1" applyAlignment="1" applyProtection="1"/>
    <xf numFmtId="166" fontId="8" fillId="0" borderId="1" xfId="1" applyNumberFormat="1" applyFont="1" applyFill="1" applyBorder="1" applyAlignment="1" applyProtection="1"/>
    <xf numFmtId="0" fontId="8" fillId="0" borderId="1" xfId="0" quotePrefix="1" applyFont="1" applyFill="1" applyBorder="1" applyAlignment="1" applyProtection="1"/>
    <xf numFmtId="0" fontId="8" fillId="8" borderId="1" xfId="0" quotePrefix="1" applyFont="1" applyFill="1" applyBorder="1" applyAlignment="1" applyProtection="1"/>
    <xf numFmtId="10" fontId="8" fillId="8" borderId="3" xfId="4" applyNumberFormat="1" applyFont="1" applyFill="1" applyBorder="1" applyAlignment="1" applyProtection="1"/>
    <xf numFmtId="10" fontId="8" fillId="8" borderId="3" xfId="4" applyNumberFormat="1" applyFont="1" applyFill="1" applyBorder="1" applyProtection="1"/>
    <xf numFmtId="10" fontId="8" fillId="2" borderId="0" xfId="4" applyNumberFormat="1" applyFont="1" applyFill="1" applyBorder="1" applyProtection="1"/>
    <xf numFmtId="0" fontId="8" fillId="4" borderId="11" xfId="0" quotePrefix="1" applyFont="1" applyFill="1" applyBorder="1" applyAlignment="1" applyProtection="1">
      <alignment wrapText="1"/>
    </xf>
    <xf numFmtId="0" fontId="8" fillId="0" borderId="11" xfId="0" applyFont="1" applyFill="1" applyBorder="1" applyAlignment="1" applyProtection="1">
      <alignment wrapText="1"/>
    </xf>
    <xf numFmtId="3" fontId="8" fillId="0" borderId="13" xfId="0" applyNumberFormat="1" applyFont="1" applyFill="1" applyBorder="1" applyProtection="1"/>
    <xf numFmtId="0" fontId="8" fillId="0" borderId="13" xfId="0" applyFont="1" applyFill="1" applyBorder="1" applyAlignment="1" applyProtection="1">
      <alignment wrapText="1"/>
    </xf>
    <xf numFmtId="0" fontId="8" fillId="0" borderId="11" xfId="0" quotePrefix="1" applyFont="1" applyFill="1" applyBorder="1" applyAlignment="1" applyProtection="1">
      <alignment wrapText="1"/>
    </xf>
    <xf numFmtId="0" fontId="8" fillId="0" borderId="1" xfId="0" applyFont="1" applyFill="1" applyBorder="1" applyAlignment="1" applyProtection="1">
      <alignmen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7" fillId="3" borderId="6" xfId="0" applyFont="1" applyFill="1" applyBorder="1" applyAlignment="1" applyProtection="1">
      <alignment horizontal="center" wrapText="1"/>
    </xf>
    <xf numFmtId="0" fontId="7" fillId="3" borderId="3" xfId="0" applyFont="1" applyFill="1" applyBorder="1" applyAlignment="1" applyProtection="1">
      <alignment horizontal="center" wrapText="1"/>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Border="1" applyAlignment="1" applyProtection="1">
      <alignment horizontal="center" wrapText="1"/>
    </xf>
    <xf numFmtId="0" fontId="7" fillId="2" borderId="0" xfId="0" applyFont="1" applyFill="1" applyBorder="1" applyAlignment="1" applyProtection="1">
      <alignment horizontal="left"/>
    </xf>
    <xf numFmtId="0" fontId="8" fillId="2" borderId="0" xfId="0" applyFont="1" applyFill="1" applyBorder="1" applyAlignment="1" applyProtection="1">
      <alignment horizontal="left"/>
    </xf>
    <xf numFmtId="0" fontId="8" fillId="2" borderId="0" xfId="0" applyFont="1" applyFill="1" applyBorder="1" applyAlignment="1" applyProtection="1">
      <alignment horizontal="left" vertical="top"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11" xfId="0" applyFont="1" applyFill="1" applyBorder="1" applyAlignment="1" applyProtection="1">
      <alignment horizontal="left" wrapText="1"/>
    </xf>
    <xf numFmtId="0" fontId="8" fillId="8" borderId="7" xfId="0" applyFont="1" applyFill="1" applyBorder="1" applyAlignment="1" applyProtection="1">
      <alignment horizontal="left" wrapText="1"/>
    </xf>
    <xf numFmtId="0" fontId="8" fillId="8" borderId="12" xfId="0" applyFont="1" applyFill="1" applyBorder="1" applyAlignment="1" applyProtection="1">
      <alignment horizontal="left" wrapText="1"/>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8" xfId="0" applyFont="1" applyFill="1" applyBorder="1" applyAlignment="1" applyProtection="1">
      <alignment horizontal="left" wrapText="1"/>
    </xf>
    <xf numFmtId="0" fontId="8" fillId="4" borderId="9" xfId="0" applyFont="1" applyFill="1" applyBorder="1" applyAlignment="1" applyProtection="1">
      <alignment horizontal="left" wrapText="1"/>
    </xf>
    <xf numFmtId="0" fontId="8" fillId="4" borderId="10"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650816"/>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62" t="s">
        <v>4</v>
      </c>
      <c r="E6" s="162"/>
      <c r="F6" s="162"/>
      <c r="G6" s="162"/>
      <c r="H6" s="3"/>
      <c r="I6" s="1"/>
    </row>
    <row r="7" spans="1:9" ht="15" customHeight="1" x14ac:dyDescent="0.25">
      <c r="A7" s="1"/>
      <c r="B7" s="1"/>
      <c r="C7" s="3"/>
      <c r="D7" s="162"/>
      <c r="E7" s="162"/>
      <c r="F7" s="162"/>
      <c r="G7" s="162"/>
      <c r="H7" s="3"/>
      <c r="I7" s="1"/>
    </row>
    <row r="8" spans="1:9" ht="15.75" x14ac:dyDescent="0.25">
      <c r="A8" s="1"/>
      <c r="B8" s="1"/>
      <c r="C8" s="4"/>
      <c r="D8" s="167" t="s">
        <v>175</v>
      </c>
      <c r="E8" s="167"/>
      <c r="F8" s="167"/>
      <c r="G8" s="16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66" t="s">
        <v>5</v>
      </c>
      <c r="E11" s="166"/>
      <c r="F11" s="166"/>
      <c r="G11" s="166"/>
      <c r="H11" s="5"/>
      <c r="I11" s="1"/>
    </row>
    <row r="12" spans="1:9" x14ac:dyDescent="0.25">
      <c r="A12" s="1"/>
      <c r="B12" s="1"/>
      <c r="C12" s="1"/>
      <c r="D12" s="1"/>
      <c r="E12" s="1"/>
      <c r="F12" s="1"/>
      <c r="G12" s="1"/>
      <c r="H12" s="5"/>
      <c r="I12" s="1"/>
    </row>
    <row r="13" spans="1:9" x14ac:dyDescent="0.25">
      <c r="A13" s="1"/>
      <c r="B13" s="1"/>
      <c r="C13" s="6" t="s">
        <v>6</v>
      </c>
      <c r="D13" s="168" t="s">
        <v>145</v>
      </c>
      <c r="E13" s="169"/>
      <c r="F13" s="169"/>
      <c r="G13" s="170"/>
      <c r="H13" s="5"/>
      <c r="I13" s="1"/>
    </row>
    <row r="14" spans="1:9" x14ac:dyDescent="0.25">
      <c r="A14" s="1"/>
      <c r="B14" s="1"/>
      <c r="C14" s="6" t="s">
        <v>16</v>
      </c>
      <c r="D14" s="159" t="s">
        <v>182</v>
      </c>
      <c r="E14" s="160"/>
      <c r="F14" s="160"/>
      <c r="G14" s="161"/>
      <c r="H14" s="5"/>
      <c r="I14" s="1"/>
    </row>
    <row r="15" spans="1:9" x14ac:dyDescent="0.25">
      <c r="A15" s="1"/>
      <c r="B15" s="1"/>
      <c r="C15" s="6" t="s">
        <v>34</v>
      </c>
      <c r="D15" s="159" t="s">
        <v>146</v>
      </c>
      <c r="E15" s="160"/>
      <c r="F15" s="160"/>
      <c r="G15" s="161"/>
      <c r="H15" s="5"/>
      <c r="I15" s="1"/>
    </row>
    <row r="16" spans="1:9" x14ac:dyDescent="0.25">
      <c r="A16" s="1"/>
      <c r="B16" s="1"/>
      <c r="C16" s="6" t="s">
        <v>35</v>
      </c>
      <c r="D16" s="159" t="s">
        <v>157</v>
      </c>
      <c r="E16" s="160"/>
      <c r="F16" s="160"/>
      <c r="G16" s="161"/>
      <c r="H16" s="5"/>
      <c r="I16" s="1"/>
    </row>
    <row r="17" spans="1:9" x14ac:dyDescent="0.25">
      <c r="A17" s="1"/>
      <c r="B17" s="1"/>
      <c r="C17" s="6" t="s">
        <v>110</v>
      </c>
      <c r="D17" s="159" t="s">
        <v>158</v>
      </c>
      <c r="E17" s="160"/>
      <c r="F17" s="160"/>
      <c r="G17" s="161"/>
      <c r="H17" s="5"/>
      <c r="I17" s="1"/>
    </row>
    <row r="18" spans="1:9" x14ac:dyDescent="0.25">
      <c r="A18" s="1"/>
      <c r="B18" s="1"/>
      <c r="C18" s="6" t="s">
        <v>97</v>
      </c>
      <c r="D18" s="156" t="s">
        <v>88</v>
      </c>
      <c r="E18" s="157"/>
      <c r="F18" s="157"/>
      <c r="G18" s="158"/>
      <c r="H18" s="5"/>
      <c r="I18" s="1"/>
    </row>
    <row r="19" spans="1:9" x14ac:dyDescent="0.25">
      <c r="A19" s="1"/>
      <c r="B19" s="1"/>
      <c r="C19" s="6" t="s">
        <v>98</v>
      </c>
      <c r="D19" s="156" t="s">
        <v>89</v>
      </c>
      <c r="E19" s="157"/>
      <c r="F19" s="157"/>
      <c r="G19" s="158"/>
      <c r="H19" s="5"/>
      <c r="I19" s="1"/>
    </row>
    <row r="20" spans="1:9" x14ac:dyDescent="0.25">
      <c r="A20" s="1"/>
      <c r="B20" s="1"/>
      <c r="C20" s="6" t="s">
        <v>7</v>
      </c>
      <c r="D20" s="156" t="s">
        <v>10</v>
      </c>
      <c r="E20" s="157"/>
      <c r="F20" s="157"/>
      <c r="G20" s="158"/>
      <c r="H20" s="5"/>
      <c r="I20" s="1"/>
    </row>
    <row r="21" spans="1:9" x14ac:dyDescent="0.25">
      <c r="A21" s="1"/>
      <c r="B21" s="1"/>
      <c r="C21" s="6" t="s">
        <v>99</v>
      </c>
      <c r="D21" s="163" t="s">
        <v>12</v>
      </c>
      <c r="E21" s="164"/>
      <c r="F21" s="164"/>
      <c r="G21" s="165"/>
      <c r="H21" s="5"/>
      <c r="I21" s="1"/>
    </row>
    <row r="22" spans="1:9" x14ac:dyDescent="0.25">
      <c r="A22" s="1"/>
      <c r="B22" s="1"/>
      <c r="C22" s="6" t="s">
        <v>79</v>
      </c>
      <c r="D22" s="150" t="s">
        <v>159</v>
      </c>
      <c r="E22" s="151"/>
      <c r="F22" s="151"/>
      <c r="G22" s="152"/>
      <c r="H22" s="5"/>
      <c r="I22" s="1"/>
    </row>
    <row r="23" spans="1:9" x14ac:dyDescent="0.25">
      <c r="A23" s="1"/>
      <c r="B23" s="1"/>
      <c r="C23" s="6" t="s">
        <v>8</v>
      </c>
      <c r="D23" s="150" t="s">
        <v>197</v>
      </c>
      <c r="E23" s="151"/>
      <c r="F23" s="151"/>
      <c r="G23" s="152"/>
      <c r="H23" s="5"/>
      <c r="I23" s="1"/>
    </row>
    <row r="24" spans="1:9" x14ac:dyDescent="0.25">
      <c r="A24" s="1"/>
      <c r="B24" s="1"/>
      <c r="C24" s="6" t="s">
        <v>9</v>
      </c>
      <c r="D24" s="150" t="s">
        <v>160</v>
      </c>
      <c r="E24" s="151"/>
      <c r="F24" s="151"/>
      <c r="G24" s="152"/>
      <c r="H24" s="5"/>
      <c r="I24" s="1"/>
    </row>
    <row r="25" spans="1:9" x14ac:dyDescent="0.25">
      <c r="A25" s="1"/>
      <c r="B25" s="1"/>
      <c r="C25" s="6" t="s">
        <v>190</v>
      </c>
      <c r="D25" s="150" t="s">
        <v>183</v>
      </c>
      <c r="E25" s="151"/>
      <c r="F25" s="151"/>
      <c r="G25" s="152"/>
      <c r="H25" s="1"/>
      <c r="I25" s="1"/>
    </row>
    <row r="26" spans="1:9" x14ac:dyDescent="0.25">
      <c r="A26" s="1"/>
      <c r="B26" s="1"/>
      <c r="C26" s="6" t="s">
        <v>191</v>
      </c>
      <c r="D26" s="150" t="s">
        <v>80</v>
      </c>
      <c r="E26" s="151"/>
      <c r="F26" s="151"/>
      <c r="G26" s="152"/>
      <c r="H26" s="1"/>
      <c r="I26" s="1"/>
    </row>
    <row r="27" spans="1:9" x14ac:dyDescent="0.25">
      <c r="A27" s="1"/>
      <c r="B27" s="1"/>
      <c r="C27" s="6" t="s">
        <v>192</v>
      </c>
      <c r="D27" s="150" t="s">
        <v>81</v>
      </c>
      <c r="E27" s="151"/>
      <c r="F27" s="151"/>
      <c r="G27" s="152"/>
      <c r="H27" s="1"/>
      <c r="I27" s="1"/>
    </row>
    <row r="28" spans="1:9" x14ac:dyDescent="0.25">
      <c r="A28" s="1"/>
      <c r="B28" s="1"/>
      <c r="C28" s="6" t="s">
        <v>15</v>
      </c>
      <c r="D28" s="150" t="s">
        <v>82</v>
      </c>
      <c r="E28" s="151"/>
      <c r="F28" s="151"/>
      <c r="G28" s="152"/>
      <c r="H28" s="1"/>
      <c r="I28" s="1"/>
    </row>
    <row r="29" spans="1:9" x14ac:dyDescent="0.25">
      <c r="A29" s="1"/>
      <c r="B29" s="1"/>
      <c r="C29" s="6" t="s">
        <v>37</v>
      </c>
      <c r="D29" s="150" t="s">
        <v>123</v>
      </c>
      <c r="E29" s="151"/>
      <c r="F29" s="151"/>
      <c r="G29" s="152"/>
      <c r="H29" s="1"/>
      <c r="I29" s="1"/>
    </row>
    <row r="30" spans="1:9" x14ac:dyDescent="0.25">
      <c r="A30" s="1"/>
      <c r="B30" s="1"/>
      <c r="C30" s="6" t="s">
        <v>38</v>
      </c>
      <c r="D30" s="150" t="s">
        <v>36</v>
      </c>
      <c r="E30" s="151"/>
      <c r="F30" s="151"/>
      <c r="G30" s="152"/>
      <c r="H30" s="1"/>
      <c r="I30" s="1"/>
    </row>
    <row r="31" spans="1:9" x14ac:dyDescent="0.25">
      <c r="A31" s="1"/>
      <c r="B31" s="1"/>
      <c r="C31" s="6" t="s">
        <v>193</v>
      </c>
      <c r="D31" s="153" t="s">
        <v>96</v>
      </c>
      <c r="E31" s="154"/>
      <c r="F31" s="154"/>
      <c r="G31" s="15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Eh9FmjZQ5foMg9wruuS8hRa+xnBTT2+INdKTkURiRiE906cVXri8EYhvQ1cPdZ8P7qHFwyYcZ9RRNS8hVwjtJA==" saltValue="IpdbYplBk1TNbUEWUwJqs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2:G22" location="'Fane 7. Kontrol af ØR2021'!A1" display="Kontrol af den økonomiske ramme for 2021"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2'!A1" display="Omkostninger i ØR2022"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1'!A1" display="Korrektion af den økonomiske ramme for 2021"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I52"/>
  <sheetViews>
    <sheetView showGridLines="0" view="pageLayout" topLeftCell="A4" zoomScaleNormal="100" workbookViewId="0">
      <selection activeCell="G29" sqref="G29"/>
    </sheetView>
  </sheetViews>
  <sheetFormatPr defaultColWidth="9.140625" defaultRowHeight="15" x14ac:dyDescent="0.25"/>
  <cols>
    <col min="1" max="1" width="1.42578125" style="2" customWidth="1"/>
    <col min="2" max="2" width="38"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73" t="s">
        <v>102</v>
      </c>
      <c r="C3" s="173"/>
      <c r="D3" s="173"/>
      <c r="E3" s="173"/>
      <c r="F3" s="173"/>
      <c r="G3" s="173"/>
      <c r="H3" s="173"/>
      <c r="I3" s="1"/>
    </row>
    <row r="4" spans="1:9" ht="15" customHeight="1" x14ac:dyDescent="0.25">
      <c r="A4" s="1"/>
      <c r="B4" s="173"/>
      <c r="C4" s="173"/>
      <c r="D4" s="173"/>
      <c r="E4" s="173"/>
      <c r="F4" s="173"/>
      <c r="G4" s="173"/>
      <c r="H4" s="17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ht="30" customHeight="1" x14ac:dyDescent="0.25">
      <c r="A8" s="1"/>
      <c r="B8" s="32" t="s">
        <v>265</v>
      </c>
      <c r="C8" s="171" t="s">
        <v>223</v>
      </c>
      <c r="D8" s="171"/>
      <c r="E8" s="171" t="s">
        <v>224</v>
      </c>
      <c r="F8" s="171"/>
      <c r="G8" s="171" t="s">
        <v>242</v>
      </c>
      <c r="H8" s="172"/>
      <c r="I8" s="1"/>
    </row>
    <row r="9" spans="1:9" ht="15" customHeight="1" x14ac:dyDescent="0.25">
      <c r="A9" s="1"/>
      <c r="B9" s="100" t="s">
        <v>32</v>
      </c>
      <c r="C9" s="98"/>
      <c r="D9" s="98"/>
      <c r="E9" s="98"/>
      <c r="F9" s="98"/>
      <c r="G9" s="98"/>
      <c r="H9" s="99"/>
      <c r="I9" s="1"/>
    </row>
    <row r="10" spans="1:9" x14ac:dyDescent="0.25">
      <c r="A10" s="1"/>
      <c r="B10" s="77" t="s">
        <v>207</v>
      </c>
      <c r="C10" s="9">
        <v>1460955</v>
      </c>
      <c r="D10" s="14" t="s">
        <v>3</v>
      </c>
      <c r="E10" s="101">
        <v>647965</v>
      </c>
      <c r="F10" s="14" t="s">
        <v>3</v>
      </c>
      <c r="G10" s="9">
        <f>C10+E10</f>
        <v>2108920</v>
      </c>
      <c r="H10" s="14" t="s">
        <v>3</v>
      </c>
      <c r="I10" s="1"/>
    </row>
    <row r="11" spans="1:9" x14ac:dyDescent="0.25">
      <c r="A11" s="1"/>
      <c r="B11" s="77" t="s">
        <v>208</v>
      </c>
      <c r="C11" s="9">
        <v>98796</v>
      </c>
      <c r="D11" s="14" t="s">
        <v>3</v>
      </c>
      <c r="E11" s="101">
        <v>89996</v>
      </c>
      <c r="F11" s="14" t="s">
        <v>3</v>
      </c>
      <c r="G11" s="9">
        <f t="shared" ref="G11:G14" si="0">C11+E11</f>
        <v>188792</v>
      </c>
      <c r="H11" s="14" t="s">
        <v>3</v>
      </c>
      <c r="I11" s="1"/>
    </row>
    <row r="12" spans="1:9" ht="27.75" customHeight="1" x14ac:dyDescent="0.25">
      <c r="A12" s="1"/>
      <c r="B12" s="28" t="s">
        <v>209</v>
      </c>
      <c r="C12" s="9">
        <v>2394381.7200000002</v>
      </c>
      <c r="D12" s="14" t="s">
        <v>3</v>
      </c>
      <c r="E12" s="101">
        <v>4354209.58</v>
      </c>
      <c r="F12" s="14" t="s">
        <v>3</v>
      </c>
      <c r="G12" s="9">
        <f>C12+E12</f>
        <v>6748591.3000000007</v>
      </c>
      <c r="H12" s="14" t="s">
        <v>3</v>
      </c>
      <c r="I12" s="1"/>
    </row>
    <row r="13" spans="1:9" x14ac:dyDescent="0.25">
      <c r="A13" s="1"/>
      <c r="B13" s="77" t="s">
        <v>210</v>
      </c>
      <c r="C13" s="9">
        <v>96208.09</v>
      </c>
      <c r="D13" s="14" t="s">
        <v>3</v>
      </c>
      <c r="E13" s="101">
        <v>247099.83</v>
      </c>
      <c r="F13" s="14" t="s">
        <v>3</v>
      </c>
      <c r="G13" s="9">
        <f t="shared" si="0"/>
        <v>343307.92</v>
      </c>
      <c r="H13" s="14" t="s">
        <v>3</v>
      </c>
      <c r="I13" s="1"/>
    </row>
    <row r="14" spans="1:9" x14ac:dyDescent="0.25">
      <c r="A14" s="1"/>
      <c r="B14" s="77" t="s">
        <v>211</v>
      </c>
      <c r="C14" s="9">
        <v>212484.79</v>
      </c>
      <c r="D14" s="14" t="s">
        <v>3</v>
      </c>
      <c r="E14" s="101">
        <v>212484.79</v>
      </c>
      <c r="F14" s="14" t="s">
        <v>3</v>
      </c>
      <c r="G14" s="9">
        <f t="shared" si="0"/>
        <v>424969.58</v>
      </c>
      <c r="H14" s="14" t="s">
        <v>3</v>
      </c>
      <c r="I14" s="1"/>
    </row>
    <row r="15" spans="1:9" x14ac:dyDescent="0.25">
      <c r="A15" s="1"/>
      <c r="B15" s="86" t="s">
        <v>312</v>
      </c>
      <c r="C15" s="9"/>
      <c r="D15" s="14" t="s">
        <v>3</v>
      </c>
      <c r="E15" s="101"/>
      <c r="F15" s="14" t="s">
        <v>3</v>
      </c>
      <c r="G15" s="9">
        <v>3813836</v>
      </c>
      <c r="H15" s="14" t="s">
        <v>3</v>
      </c>
      <c r="I15" s="1"/>
    </row>
    <row r="16" spans="1:9" x14ac:dyDescent="0.25">
      <c r="A16" s="1"/>
      <c r="B16" s="32" t="s">
        <v>266</v>
      </c>
      <c r="C16" s="12">
        <f>SUM(C10:C14)</f>
        <v>4262825.5999999996</v>
      </c>
      <c r="D16" s="13" t="s">
        <v>3</v>
      </c>
      <c r="E16" s="12">
        <f>SUM(E10:E14)</f>
        <v>5551755.2000000002</v>
      </c>
      <c r="F16" s="13" t="s">
        <v>3</v>
      </c>
      <c r="G16" s="12">
        <f>SUM(G10:G14)-G15</f>
        <v>6000744.8000000007</v>
      </c>
      <c r="H16" s="13" t="s">
        <v>3</v>
      </c>
      <c r="I16" s="1"/>
    </row>
    <row r="17" spans="1:9" x14ac:dyDescent="0.25">
      <c r="A17" s="1"/>
      <c r="B17" s="32" t="s">
        <v>267</v>
      </c>
      <c r="C17" s="12">
        <f>C16*(1+'Fane 15. Nøgletal'!C16)^2</f>
        <v>4979528.6706851833</v>
      </c>
      <c r="D17" s="13" t="s">
        <v>3</v>
      </c>
      <c r="E17" s="12">
        <f>E16*(1+'Fane 15. Nøgletal'!C16)^2</f>
        <v>6485164.2513889279</v>
      </c>
      <c r="F17" s="13" t="s">
        <v>3</v>
      </c>
      <c r="G17" s="12">
        <f>G16*(1+'Fane 15. Nøgletal'!C16)^2</f>
        <v>7009641.8622110728</v>
      </c>
      <c r="H17" s="13" t="s">
        <v>3</v>
      </c>
      <c r="I17" s="1"/>
    </row>
    <row r="18" spans="1:9" x14ac:dyDescent="0.25">
      <c r="A18" s="1"/>
      <c r="B18" s="16"/>
      <c r="C18" s="16"/>
      <c r="D18" s="16"/>
      <c r="E18" s="16"/>
      <c r="F18" s="16"/>
      <c r="G18" s="15"/>
      <c r="H18" s="15"/>
      <c r="I18" s="1"/>
    </row>
    <row r="19" spans="1:9" x14ac:dyDescent="0.25">
      <c r="A19" s="1"/>
      <c r="B19" s="16"/>
      <c r="C19" s="16"/>
      <c r="D19" s="16"/>
      <c r="E19" s="16"/>
      <c r="F19" s="16"/>
      <c r="G19" s="15"/>
      <c r="H19" s="15"/>
      <c r="I19" s="1"/>
    </row>
    <row r="20" spans="1:9" ht="30" customHeight="1" x14ac:dyDescent="0.25">
      <c r="A20" s="1"/>
      <c r="B20" s="20" t="s">
        <v>108</v>
      </c>
      <c r="C20" s="171" t="s">
        <v>223</v>
      </c>
      <c r="D20" s="171"/>
      <c r="E20" s="171" t="s">
        <v>224</v>
      </c>
      <c r="F20" s="171"/>
      <c r="G20" s="171" t="s">
        <v>242</v>
      </c>
      <c r="H20" s="172"/>
      <c r="I20" s="1"/>
    </row>
    <row r="21" spans="1:9" x14ac:dyDescent="0.25">
      <c r="A21" s="1"/>
      <c r="B21" s="77" t="s">
        <v>119</v>
      </c>
      <c r="C21" s="9">
        <v>0</v>
      </c>
      <c r="D21" s="14" t="s">
        <v>3</v>
      </c>
      <c r="E21" s="9">
        <v>0</v>
      </c>
      <c r="F21" s="14" t="s">
        <v>3</v>
      </c>
      <c r="G21" s="9">
        <f>C21+E21</f>
        <v>0</v>
      </c>
      <c r="H21" s="14" t="s">
        <v>3</v>
      </c>
      <c r="I21" s="1"/>
    </row>
    <row r="22" spans="1:9" x14ac:dyDescent="0.25">
      <c r="A22" s="1"/>
      <c r="B22" s="77" t="s">
        <v>134</v>
      </c>
      <c r="C22" s="9">
        <v>0</v>
      </c>
      <c r="D22" s="14" t="s">
        <v>3</v>
      </c>
      <c r="E22" s="9">
        <v>0</v>
      </c>
      <c r="F22" s="14" t="s">
        <v>3</v>
      </c>
      <c r="G22" s="9">
        <f t="shared" ref="G22" si="1">C22+E22</f>
        <v>0</v>
      </c>
      <c r="H22" s="14" t="s">
        <v>3</v>
      </c>
      <c r="I22" s="1"/>
    </row>
    <row r="23" spans="1:9" x14ac:dyDescent="0.25">
      <c r="A23" s="1"/>
      <c r="B23" s="77" t="s">
        <v>164</v>
      </c>
      <c r="C23" s="9">
        <v>0</v>
      </c>
      <c r="D23" s="14" t="s">
        <v>3</v>
      </c>
      <c r="E23" s="9">
        <v>0</v>
      </c>
      <c r="F23" s="14" t="s">
        <v>3</v>
      </c>
      <c r="G23" s="9">
        <f>C23+E23</f>
        <v>0</v>
      </c>
      <c r="H23" s="14" t="s">
        <v>3</v>
      </c>
      <c r="I23" s="1"/>
    </row>
    <row r="24" spans="1:9" x14ac:dyDescent="0.25">
      <c r="A24" s="1"/>
      <c r="B24" s="33" t="s">
        <v>270</v>
      </c>
      <c r="C24" s="9">
        <v>0</v>
      </c>
      <c r="D24" s="40" t="s">
        <v>3</v>
      </c>
      <c r="E24" s="9">
        <v>0</v>
      </c>
      <c r="F24" s="40" t="s">
        <v>3</v>
      </c>
      <c r="G24" s="9">
        <f t="shared" ref="G24" si="2">C24+E24</f>
        <v>0</v>
      </c>
      <c r="H24" s="40" t="s">
        <v>3</v>
      </c>
      <c r="I24" s="1"/>
    </row>
    <row r="25" spans="1:9" x14ac:dyDescent="0.25">
      <c r="A25" s="1"/>
      <c r="B25" s="189"/>
      <c r="C25" s="190"/>
      <c r="D25" s="190"/>
      <c r="E25" s="190"/>
      <c r="F25" s="190"/>
      <c r="G25" s="190"/>
      <c r="H25" s="19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ht="30" customHeight="1" x14ac:dyDescent="0.25">
      <c r="A28" s="1"/>
      <c r="B28" s="32" t="s">
        <v>90</v>
      </c>
      <c r="C28" s="171" t="s">
        <v>223</v>
      </c>
      <c r="D28" s="171"/>
      <c r="E28" s="171" t="s">
        <v>224</v>
      </c>
      <c r="F28" s="171"/>
      <c r="G28" s="171" t="s">
        <v>242</v>
      </c>
      <c r="H28" s="172"/>
      <c r="I28" s="1"/>
    </row>
    <row r="29" spans="1:9" x14ac:dyDescent="0.25">
      <c r="A29" s="1"/>
      <c r="B29" s="77" t="s">
        <v>119</v>
      </c>
      <c r="C29" s="9">
        <v>0</v>
      </c>
      <c r="D29" s="14" t="s">
        <v>3</v>
      </c>
      <c r="E29" s="9">
        <v>0</v>
      </c>
      <c r="F29" s="14" t="s">
        <v>3</v>
      </c>
      <c r="G29" s="9">
        <f>C29+E29</f>
        <v>0</v>
      </c>
      <c r="H29" s="14" t="s">
        <v>3</v>
      </c>
      <c r="I29" s="1"/>
    </row>
    <row r="30" spans="1:9" x14ac:dyDescent="0.25">
      <c r="A30" s="1"/>
      <c r="B30" s="77" t="s">
        <v>134</v>
      </c>
      <c r="C30" s="9">
        <v>0</v>
      </c>
      <c r="D30" s="14" t="s">
        <v>3</v>
      </c>
      <c r="E30" s="9">
        <v>0</v>
      </c>
      <c r="F30" s="14" t="s">
        <v>3</v>
      </c>
      <c r="G30" s="9">
        <f t="shared" ref="G30" si="3">C30+E30</f>
        <v>0</v>
      </c>
      <c r="H30" s="14" t="s">
        <v>3</v>
      </c>
      <c r="I30" s="1"/>
    </row>
    <row r="31" spans="1:9" x14ac:dyDescent="0.25">
      <c r="A31" s="1"/>
      <c r="B31" s="77" t="s">
        <v>164</v>
      </c>
      <c r="C31" s="9">
        <v>0</v>
      </c>
      <c r="D31" s="14" t="s">
        <v>3</v>
      </c>
      <c r="E31" s="9">
        <v>0</v>
      </c>
      <c r="F31" s="14" t="s">
        <v>3</v>
      </c>
      <c r="G31" s="9">
        <f>C31+E31</f>
        <v>0</v>
      </c>
      <c r="H31" s="14" t="s">
        <v>3</v>
      </c>
      <c r="I31" s="1"/>
    </row>
    <row r="32" spans="1:9" x14ac:dyDescent="0.25">
      <c r="A32" s="1"/>
      <c r="B32" s="33" t="s">
        <v>270</v>
      </c>
      <c r="C32" s="9">
        <v>0</v>
      </c>
      <c r="D32" s="40" t="s">
        <v>3</v>
      </c>
      <c r="E32" s="9">
        <v>0</v>
      </c>
      <c r="F32" s="40" t="s">
        <v>3</v>
      </c>
      <c r="G32" s="9">
        <f t="shared" ref="G32" si="4">C32+E32</f>
        <v>0</v>
      </c>
      <c r="H32" s="40" t="s">
        <v>3</v>
      </c>
      <c r="I32" s="1"/>
    </row>
    <row r="33" spans="1:9" x14ac:dyDescent="0.25">
      <c r="A33" s="1"/>
      <c r="B33" s="189"/>
      <c r="C33" s="190"/>
      <c r="D33" s="190"/>
      <c r="E33" s="190"/>
      <c r="F33" s="190"/>
      <c r="G33" s="190"/>
      <c r="H33" s="19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45"/>
      <c r="B48" s="45"/>
      <c r="C48" s="45"/>
      <c r="D48" s="45"/>
      <c r="E48" s="45"/>
      <c r="F48" s="45"/>
      <c r="G48" s="45"/>
      <c r="H48" s="45"/>
      <c r="I48" s="45"/>
    </row>
    <row r="49" spans="1:9" x14ac:dyDescent="0.25">
      <c r="A49" s="45"/>
      <c r="B49" s="45"/>
      <c r="C49" s="45"/>
      <c r="D49" s="45"/>
      <c r="E49" s="45"/>
      <c r="F49" s="45"/>
      <c r="G49" s="45"/>
      <c r="H49" s="45"/>
      <c r="I49" s="45"/>
    </row>
    <row r="50" spans="1:9" x14ac:dyDescent="0.25">
      <c r="A50" s="45"/>
      <c r="B50" s="45"/>
      <c r="C50" s="45"/>
      <c r="D50" s="45"/>
      <c r="E50" s="45"/>
      <c r="F50" s="45"/>
      <c r="G50" s="45"/>
      <c r="H50" s="45"/>
      <c r="I50" s="45"/>
    </row>
    <row r="51" spans="1:9" x14ac:dyDescent="0.25">
      <c r="A51" s="45"/>
      <c r="B51" s="45"/>
      <c r="C51" s="45"/>
      <c r="D51" s="45"/>
      <c r="E51" s="45"/>
      <c r="F51" s="45"/>
      <c r="G51" s="45"/>
      <c r="H51" s="45"/>
      <c r="I51" s="45"/>
    </row>
    <row r="52" spans="1:9" x14ac:dyDescent="0.25">
      <c r="A52" s="45"/>
      <c r="B52" s="45"/>
      <c r="C52" s="45"/>
      <c r="D52" s="45"/>
      <c r="E52" s="45"/>
      <c r="F52" s="45"/>
      <c r="G52" s="45"/>
      <c r="H52" s="45"/>
      <c r="I52" s="45"/>
    </row>
  </sheetData>
  <sheetProtection algorithmName="SHA-512" hashValue="SNFHVKOsw6uDiCmg4NJMubo+BeBs9q56qEYA5KOYeByZfRAnBik/bNQl6vyWGwEPAiMm/oCWRpIVuHyS6RhOZQ==" saltValue="AVG15JZjNRvCq/Oai+ecjA==" spinCount="100000" sheet="1" objects="1" scenarios="1"/>
  <mergeCells count="12">
    <mergeCell ref="C28:D28"/>
    <mergeCell ref="E28:F28"/>
    <mergeCell ref="G28:H28"/>
    <mergeCell ref="B33:H33"/>
    <mergeCell ref="B3:H4"/>
    <mergeCell ref="B25:H25"/>
    <mergeCell ref="C8:D8"/>
    <mergeCell ref="E8:F8"/>
    <mergeCell ref="G8:H8"/>
    <mergeCell ref="C20:D20"/>
    <mergeCell ref="E20:F20"/>
    <mergeCell ref="G20:H20"/>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2"/>
  <dimension ref="A1:K39"/>
  <sheetViews>
    <sheetView showGridLines="0" view="pageLayout" topLeftCell="A7" zoomScaleNormal="100" workbookViewId="0">
      <selection activeCell="I11" sqref="I11"/>
    </sheetView>
  </sheetViews>
  <sheetFormatPr defaultColWidth="9.140625" defaultRowHeight="15" x14ac:dyDescent="0.25"/>
  <cols>
    <col min="1" max="1" width="1.42578125" style="2" customWidth="1"/>
    <col min="2" max="3" width="9.140625" style="2"/>
    <col min="4" max="4" width="27.28515625" style="2" customWidth="1"/>
    <col min="5" max="5" width="10" style="2" customWidth="1"/>
    <col min="6" max="6" width="2.5703125" style="2" customWidth="1"/>
    <col min="7" max="7" width="10" style="2" customWidth="1"/>
    <col min="8" max="8" width="2.5703125" style="2" customWidth="1"/>
    <col min="9" max="9" width="10" style="2" customWidth="1"/>
    <col min="10" max="10" width="2.5703125" style="2" customWidth="1"/>
    <col min="11" max="11" width="1.42578125" style="2" customWidth="1"/>
    <col min="12" max="12" width="10.85546875" style="2" bestFit="1" customWidth="1"/>
    <col min="13" max="16384" width="9.140625" style="2"/>
  </cols>
  <sheetData>
    <row r="1" spans="1:11" x14ac:dyDescent="0.25">
      <c r="A1" s="1"/>
      <c r="B1" s="1"/>
      <c r="C1" s="1"/>
      <c r="D1" s="1"/>
      <c r="E1" s="1"/>
      <c r="F1" s="1"/>
      <c r="G1" s="1"/>
      <c r="H1" s="1"/>
      <c r="I1" s="1"/>
      <c r="J1" s="1"/>
      <c r="K1" s="1"/>
    </row>
    <row r="2" spans="1:11" x14ac:dyDescent="0.25">
      <c r="A2" s="1"/>
      <c r="B2" s="1"/>
      <c r="C2" s="1"/>
      <c r="D2" s="1"/>
      <c r="E2" s="1"/>
      <c r="F2" s="1"/>
      <c r="G2" s="1"/>
      <c r="H2" s="1"/>
      <c r="I2" s="1"/>
      <c r="J2" s="1"/>
      <c r="K2" s="1"/>
    </row>
    <row r="3" spans="1:11" ht="29.25" customHeight="1" x14ac:dyDescent="0.25">
      <c r="A3" s="1"/>
      <c r="B3" s="175" t="s">
        <v>271</v>
      </c>
      <c r="C3" s="175"/>
      <c r="D3" s="175"/>
      <c r="E3" s="175"/>
      <c r="F3" s="175"/>
      <c r="G3" s="175"/>
      <c r="H3" s="175"/>
      <c r="I3" s="175"/>
      <c r="J3" s="175"/>
      <c r="K3" s="1"/>
    </row>
    <row r="4" spans="1:11" ht="15" customHeight="1" x14ac:dyDescent="0.25">
      <c r="A4" s="1"/>
      <c r="B4" s="175"/>
      <c r="C4" s="175"/>
      <c r="D4" s="175"/>
      <c r="E4" s="175"/>
      <c r="F4" s="175"/>
      <c r="G4" s="175"/>
      <c r="H4" s="175"/>
      <c r="I4" s="175"/>
      <c r="J4" s="175"/>
      <c r="K4" s="1"/>
    </row>
    <row r="5" spans="1:11" ht="15" customHeight="1" x14ac:dyDescent="0.25">
      <c r="A5" s="1"/>
      <c r="B5" s="68"/>
      <c r="C5" s="68"/>
      <c r="D5" s="68"/>
      <c r="E5" s="80"/>
      <c r="F5" s="80"/>
      <c r="G5" s="80"/>
      <c r="H5" s="80"/>
      <c r="I5" s="68"/>
      <c r="J5" s="68"/>
      <c r="K5" s="1"/>
    </row>
    <row r="6" spans="1:11" ht="15" customHeight="1" x14ac:dyDescent="0.25">
      <c r="A6" s="1"/>
      <c r="B6" s="68"/>
      <c r="C6" s="68"/>
      <c r="D6" s="68"/>
      <c r="E6" s="80"/>
      <c r="F6" s="80"/>
      <c r="G6" s="80"/>
      <c r="H6" s="80"/>
      <c r="I6" s="68"/>
      <c r="J6" s="68"/>
      <c r="K6" s="1"/>
    </row>
    <row r="7" spans="1:11" x14ac:dyDescent="0.25">
      <c r="A7" s="1"/>
      <c r="B7" s="1"/>
      <c r="C7" s="1"/>
      <c r="D7" s="1"/>
      <c r="E7" s="1"/>
      <c r="F7" s="1"/>
      <c r="G7" s="1"/>
      <c r="H7" s="1"/>
      <c r="I7" s="1"/>
      <c r="J7" s="1"/>
      <c r="K7" s="1"/>
    </row>
    <row r="8" spans="1:11" ht="39.75" customHeight="1" x14ac:dyDescent="0.25">
      <c r="A8" s="1"/>
      <c r="B8" s="32" t="s">
        <v>154</v>
      </c>
      <c r="C8" s="27"/>
      <c r="D8" s="27"/>
      <c r="E8" s="171" t="s">
        <v>223</v>
      </c>
      <c r="F8" s="171"/>
      <c r="G8" s="171" t="s">
        <v>224</v>
      </c>
      <c r="H8" s="171"/>
      <c r="I8" s="171" t="s">
        <v>242</v>
      </c>
      <c r="J8" s="172"/>
      <c r="K8" s="1"/>
    </row>
    <row r="9" spans="1:11" x14ac:dyDescent="0.25">
      <c r="A9" s="1"/>
      <c r="B9" s="183" t="s">
        <v>272</v>
      </c>
      <c r="C9" s="184"/>
      <c r="D9" s="185"/>
      <c r="E9" s="9">
        <v>22399929</v>
      </c>
      <c r="F9" s="14" t="s">
        <v>3</v>
      </c>
      <c r="G9" s="9">
        <v>12585749</v>
      </c>
      <c r="H9" s="14" t="s">
        <v>3</v>
      </c>
      <c r="I9" s="9">
        <f>E9+G9</f>
        <v>34985678</v>
      </c>
      <c r="J9" s="14" t="s">
        <v>3</v>
      </c>
      <c r="K9" s="1"/>
    </row>
    <row r="10" spans="1:11" x14ac:dyDescent="0.25">
      <c r="A10" s="1"/>
      <c r="B10" s="183" t="s">
        <v>165</v>
      </c>
      <c r="C10" s="184"/>
      <c r="D10" s="185"/>
      <c r="E10" s="95">
        <v>19159487</v>
      </c>
      <c r="F10" s="94" t="s">
        <v>3</v>
      </c>
      <c r="G10" s="9">
        <v>8235007</v>
      </c>
      <c r="H10" s="94" t="s">
        <v>3</v>
      </c>
      <c r="I10" s="9">
        <f>E10+G10</f>
        <v>27394494</v>
      </c>
      <c r="J10" s="94" t="s">
        <v>3</v>
      </c>
      <c r="K10" s="1"/>
    </row>
    <row r="11" spans="1:11" x14ac:dyDescent="0.25">
      <c r="A11" s="1"/>
      <c r="B11" s="183" t="s">
        <v>273</v>
      </c>
      <c r="C11" s="184"/>
      <c r="D11" s="185"/>
      <c r="E11" s="9">
        <v>13980514</v>
      </c>
      <c r="F11" s="94" t="s">
        <v>3</v>
      </c>
      <c r="G11" s="9">
        <v>5305535</v>
      </c>
      <c r="H11" s="94" t="s">
        <v>3</v>
      </c>
      <c r="I11" s="9">
        <f>E11+G11</f>
        <v>19286049</v>
      </c>
      <c r="J11" s="94" t="s">
        <v>3</v>
      </c>
      <c r="K11" s="1"/>
    </row>
    <row r="12" spans="1:11" x14ac:dyDescent="0.25">
      <c r="A12" s="1"/>
      <c r="B12" s="32"/>
      <c r="C12" s="27"/>
      <c r="D12" s="27"/>
      <c r="E12" s="27"/>
      <c r="F12" s="27"/>
      <c r="G12" s="27"/>
      <c r="H12" s="27"/>
      <c r="I12" s="27"/>
      <c r="J12" s="19"/>
      <c r="K12" s="1"/>
    </row>
    <row r="13" spans="1:11" ht="39.75" customHeight="1" x14ac:dyDescent="0.25">
      <c r="A13" s="1"/>
      <c r="B13" s="192" t="s">
        <v>274</v>
      </c>
      <c r="C13" s="193"/>
      <c r="D13" s="193"/>
      <c r="E13" s="193"/>
      <c r="F13" s="193"/>
      <c r="G13" s="193"/>
      <c r="H13" s="193"/>
      <c r="I13" s="193"/>
      <c r="J13" s="194"/>
      <c r="K13" s="1"/>
    </row>
    <row r="14" spans="1:11" ht="27" customHeight="1" x14ac:dyDescent="0.25">
      <c r="A14" s="1"/>
      <c r="B14" s="1"/>
      <c r="C14" s="1"/>
      <c r="D14" s="1"/>
      <c r="E14" s="1"/>
      <c r="F14" s="1"/>
      <c r="G14" s="1"/>
      <c r="H14" s="1"/>
      <c r="I14" s="1"/>
      <c r="J14" s="1"/>
      <c r="K14" s="1"/>
    </row>
    <row r="15" spans="1:11" ht="39.75" customHeight="1" x14ac:dyDescent="0.25">
      <c r="A15" s="1"/>
      <c r="B15" s="195" t="s">
        <v>275</v>
      </c>
      <c r="C15" s="196"/>
      <c r="D15" s="196"/>
      <c r="E15" s="171" t="s">
        <v>223</v>
      </c>
      <c r="F15" s="171"/>
      <c r="G15" s="171" t="s">
        <v>224</v>
      </c>
      <c r="H15" s="171"/>
      <c r="I15" s="171" t="s">
        <v>242</v>
      </c>
      <c r="J15" s="172"/>
      <c r="K15" s="1"/>
    </row>
    <row r="16" spans="1:11" x14ac:dyDescent="0.25">
      <c r="A16" s="1"/>
      <c r="B16" s="183" t="s">
        <v>276</v>
      </c>
      <c r="C16" s="184"/>
      <c r="D16" s="185"/>
      <c r="E16" s="9">
        <v>0</v>
      </c>
      <c r="F16" s="14" t="s">
        <v>3</v>
      </c>
      <c r="G16" s="9">
        <v>0</v>
      </c>
      <c r="H16" s="14" t="s">
        <v>3</v>
      </c>
      <c r="I16" s="9">
        <f>E16+G16</f>
        <v>0</v>
      </c>
      <c r="J16" s="14" t="s">
        <v>3</v>
      </c>
      <c r="K16" s="1"/>
    </row>
    <row r="17" spans="1:11" x14ac:dyDescent="0.25">
      <c r="A17" s="1"/>
      <c r="B17" s="183" t="s">
        <v>277</v>
      </c>
      <c r="C17" s="184"/>
      <c r="D17" s="185"/>
      <c r="E17" s="9">
        <v>19159487</v>
      </c>
      <c r="F17" s="94" t="s">
        <v>3</v>
      </c>
      <c r="G17" s="9">
        <v>8235007</v>
      </c>
      <c r="H17" s="94" t="s">
        <v>3</v>
      </c>
      <c r="I17" s="9">
        <f>E17+G17</f>
        <v>27394494</v>
      </c>
      <c r="J17" s="94" t="s">
        <v>3</v>
      </c>
      <c r="K17" s="1"/>
    </row>
    <row r="18" spans="1:11" ht="27" customHeight="1" x14ac:dyDescent="0.25">
      <c r="A18" s="1"/>
      <c r="B18" s="197" t="s">
        <v>278</v>
      </c>
      <c r="C18" s="198"/>
      <c r="D18" s="199"/>
      <c r="E18" s="10">
        <f>IF(SUM(E16:E17)&gt;0,0,SUM(E16:E17))</f>
        <v>0</v>
      </c>
      <c r="F18" s="96" t="s">
        <v>3</v>
      </c>
      <c r="G18" s="10">
        <f>IF(SUM(G16:G17)&gt;0,0,SUM(G16:G17))</f>
        <v>0</v>
      </c>
      <c r="H18" s="96" t="s">
        <v>3</v>
      </c>
      <c r="I18" s="10">
        <f>IF(SUM(I16:I17)&gt;0,0,SUM(I16:I17))</f>
        <v>0</v>
      </c>
      <c r="J18" s="96" t="s">
        <v>3</v>
      </c>
      <c r="K18" s="1"/>
    </row>
    <row r="19" spans="1:11" x14ac:dyDescent="0.25">
      <c r="A19" s="1"/>
      <c r="B19" s="32"/>
      <c r="C19" s="27"/>
      <c r="D19" s="27"/>
      <c r="E19" s="27"/>
      <c r="F19" s="27"/>
      <c r="G19" s="27"/>
      <c r="H19" s="27"/>
      <c r="I19" s="27"/>
      <c r="J19" s="19"/>
      <c r="K19" s="1"/>
    </row>
    <row r="20" spans="1:11" ht="26.25" customHeight="1" x14ac:dyDescent="0.25">
      <c r="A20" s="1"/>
      <c r="B20" s="192" t="s">
        <v>155</v>
      </c>
      <c r="C20" s="193"/>
      <c r="D20" s="193"/>
      <c r="E20" s="193"/>
      <c r="F20" s="193"/>
      <c r="G20" s="193"/>
      <c r="H20" s="193"/>
      <c r="I20" s="193"/>
      <c r="J20" s="194"/>
      <c r="K20" s="1"/>
    </row>
    <row r="21" spans="1:11" ht="28.5" customHeight="1" x14ac:dyDescent="0.25">
      <c r="A21" s="1"/>
      <c r="B21" s="1"/>
      <c r="C21" s="1"/>
      <c r="D21" s="1"/>
      <c r="E21" s="1"/>
      <c r="F21" s="1"/>
      <c r="G21" s="1"/>
      <c r="H21" s="1"/>
      <c r="I21" s="1"/>
      <c r="J21" s="1"/>
      <c r="K21" s="1"/>
    </row>
    <row r="22" spans="1:11" ht="38.25" customHeight="1" x14ac:dyDescent="0.25">
      <c r="A22" s="1"/>
      <c r="B22" s="128" t="s">
        <v>279</v>
      </c>
      <c r="C22" s="27"/>
      <c r="D22" s="27"/>
      <c r="E22" s="171" t="s">
        <v>223</v>
      </c>
      <c r="F22" s="171"/>
      <c r="G22" s="171" t="s">
        <v>224</v>
      </c>
      <c r="H22" s="171"/>
      <c r="I22" s="171" t="s">
        <v>242</v>
      </c>
      <c r="J22" s="172"/>
      <c r="K22" s="1"/>
    </row>
    <row r="23" spans="1:11" x14ac:dyDescent="0.25">
      <c r="A23" s="1"/>
      <c r="B23" s="74" t="s">
        <v>280</v>
      </c>
      <c r="C23" s="75"/>
      <c r="D23" s="76"/>
      <c r="E23" s="9">
        <v>80389273</v>
      </c>
      <c r="F23" s="14" t="s">
        <v>3</v>
      </c>
      <c r="G23" s="9">
        <v>83192397</v>
      </c>
      <c r="H23" s="14" t="s">
        <v>3</v>
      </c>
      <c r="I23" s="9">
        <f>E23+G23</f>
        <v>163581670</v>
      </c>
      <c r="J23" s="14" t="s">
        <v>3</v>
      </c>
      <c r="K23" s="1"/>
    </row>
    <row r="24" spans="1:11" x14ac:dyDescent="0.25">
      <c r="A24" s="1"/>
      <c r="B24" s="74" t="s">
        <v>281</v>
      </c>
      <c r="C24" s="75"/>
      <c r="D24" s="76"/>
      <c r="E24" s="9">
        <v>65604006.200000003</v>
      </c>
      <c r="F24" s="14" t="s">
        <v>3</v>
      </c>
      <c r="G24" s="9">
        <v>85932557</v>
      </c>
      <c r="H24" s="14" t="s">
        <v>3</v>
      </c>
      <c r="I24" s="9">
        <f>E24+G24</f>
        <v>151536563.19999999</v>
      </c>
      <c r="J24" s="14" t="s">
        <v>3</v>
      </c>
      <c r="K24" s="1"/>
    </row>
    <row r="25" spans="1:11" ht="30" customHeight="1" x14ac:dyDescent="0.25">
      <c r="A25" s="1"/>
      <c r="B25" s="176" t="s">
        <v>33</v>
      </c>
      <c r="C25" s="177"/>
      <c r="D25" s="178"/>
      <c r="E25" s="9">
        <v>0</v>
      </c>
      <c r="F25" s="14" t="s">
        <v>3</v>
      </c>
      <c r="G25" s="9">
        <v>0</v>
      </c>
      <c r="H25" s="14" t="s">
        <v>3</v>
      </c>
      <c r="I25" s="9">
        <f>E25+G25</f>
        <v>0</v>
      </c>
      <c r="J25" s="14" t="s">
        <v>3</v>
      </c>
      <c r="K25" s="1"/>
    </row>
    <row r="26" spans="1:11" ht="30" customHeight="1" x14ac:dyDescent="0.25">
      <c r="A26" s="1"/>
      <c r="B26" s="209" t="s">
        <v>282</v>
      </c>
      <c r="C26" s="210"/>
      <c r="D26" s="211"/>
      <c r="E26" s="97">
        <f>E23-(E24-E25)</f>
        <v>14785266.799999997</v>
      </c>
      <c r="F26" s="96" t="s">
        <v>3</v>
      </c>
      <c r="G26" s="97">
        <f>G23-(G24-G25)</f>
        <v>-2740160</v>
      </c>
      <c r="H26" s="96" t="s">
        <v>3</v>
      </c>
      <c r="I26" s="97">
        <f>E26+G26</f>
        <v>12045106.799999997</v>
      </c>
      <c r="J26" s="96" t="s">
        <v>3</v>
      </c>
      <c r="K26" s="1"/>
    </row>
    <row r="27" spans="1:11" x14ac:dyDescent="0.25">
      <c r="A27" s="1"/>
      <c r="B27" s="32"/>
      <c r="C27" s="27"/>
      <c r="D27" s="27"/>
      <c r="E27" s="27"/>
      <c r="F27" s="27"/>
      <c r="G27" s="27"/>
      <c r="H27" s="27"/>
      <c r="I27" s="27"/>
      <c r="J27" s="19"/>
      <c r="K27" s="1"/>
    </row>
    <row r="28" spans="1:11" x14ac:dyDescent="0.25">
      <c r="A28" s="1"/>
      <c r="B28" s="1"/>
      <c r="C28" s="1"/>
      <c r="D28" s="1"/>
      <c r="E28" s="1"/>
      <c r="F28" s="1"/>
      <c r="G28" s="1"/>
      <c r="H28" s="1"/>
      <c r="I28" s="1"/>
      <c r="J28" s="1"/>
      <c r="K28" s="1"/>
    </row>
    <row r="29" spans="1:11" x14ac:dyDescent="0.25">
      <c r="A29" s="1"/>
      <c r="B29" s="1"/>
      <c r="C29" s="1"/>
      <c r="D29" s="1"/>
      <c r="E29" s="1"/>
      <c r="F29" s="1"/>
      <c r="G29" s="1"/>
      <c r="H29" s="1"/>
      <c r="I29" s="1"/>
      <c r="J29" s="1"/>
      <c r="K29" s="1"/>
    </row>
    <row r="30" spans="1:11" ht="28.5" customHeight="1" x14ac:dyDescent="0.25">
      <c r="A30" s="1"/>
      <c r="B30" s="189" t="s">
        <v>206</v>
      </c>
      <c r="C30" s="190"/>
      <c r="D30" s="190"/>
      <c r="E30" s="190"/>
      <c r="F30" s="190"/>
      <c r="G30" s="190"/>
      <c r="H30" s="190"/>
      <c r="I30" s="171" t="s">
        <v>242</v>
      </c>
      <c r="J30" s="172"/>
      <c r="K30" s="1"/>
    </row>
    <row r="31" spans="1:11" x14ac:dyDescent="0.25">
      <c r="A31" s="1"/>
      <c r="B31" s="203" t="s">
        <v>127</v>
      </c>
      <c r="C31" s="204"/>
      <c r="D31" s="204"/>
      <c r="E31" s="204"/>
      <c r="F31" s="204"/>
      <c r="G31" s="204"/>
      <c r="H31" s="205"/>
      <c r="I31" s="61">
        <v>0</v>
      </c>
      <c r="J31" s="14" t="s">
        <v>3</v>
      </c>
      <c r="K31" s="1"/>
    </row>
    <row r="32" spans="1:11" x14ac:dyDescent="0.25">
      <c r="A32" s="1"/>
      <c r="B32" s="203" t="s">
        <v>93</v>
      </c>
      <c r="C32" s="204"/>
      <c r="D32" s="204"/>
      <c r="E32" s="204"/>
      <c r="F32" s="204"/>
      <c r="G32" s="204"/>
      <c r="H32" s="205"/>
      <c r="I32" s="43">
        <v>2</v>
      </c>
      <c r="J32" s="14" t="s">
        <v>20</v>
      </c>
      <c r="K32" s="1"/>
    </row>
    <row r="33" spans="1:11" x14ac:dyDescent="0.25">
      <c r="A33" s="1"/>
      <c r="B33" s="206" t="s">
        <v>128</v>
      </c>
      <c r="C33" s="207"/>
      <c r="D33" s="207"/>
      <c r="E33" s="207"/>
      <c r="F33" s="207"/>
      <c r="G33" s="207"/>
      <c r="H33" s="208"/>
      <c r="I33" s="60">
        <f>I31/I32</f>
        <v>0</v>
      </c>
      <c r="J33" s="17" t="s">
        <v>3</v>
      </c>
      <c r="K33" s="1"/>
    </row>
    <row r="34" spans="1:11" x14ac:dyDescent="0.25">
      <c r="A34" s="1"/>
      <c r="B34" s="200"/>
      <c r="C34" s="201"/>
      <c r="D34" s="201"/>
      <c r="E34" s="201"/>
      <c r="F34" s="201"/>
      <c r="G34" s="201"/>
      <c r="H34" s="201"/>
      <c r="I34" s="201"/>
      <c r="J34" s="202"/>
      <c r="K34" s="1"/>
    </row>
    <row r="35" spans="1:11" x14ac:dyDescent="0.25">
      <c r="A35" s="1"/>
      <c r="B35" s="1"/>
      <c r="C35" s="1"/>
      <c r="D35" s="1"/>
      <c r="E35" s="1"/>
      <c r="F35" s="1"/>
      <c r="G35" s="1"/>
      <c r="H35" s="1"/>
      <c r="I35" s="1"/>
      <c r="J35" s="1"/>
      <c r="K35" s="1"/>
    </row>
    <row r="36" spans="1:11" x14ac:dyDescent="0.25">
      <c r="A36" s="1"/>
      <c r="B36" s="1"/>
      <c r="C36" s="1"/>
      <c r="D36" s="1"/>
      <c r="E36" s="1"/>
      <c r="F36" s="1"/>
      <c r="G36" s="1"/>
      <c r="H36" s="1"/>
      <c r="I36" s="1"/>
      <c r="J36" s="1"/>
      <c r="K36" s="1"/>
    </row>
    <row r="37" spans="1:11" x14ac:dyDescent="0.25">
      <c r="B37" s="45"/>
      <c r="C37" s="45"/>
      <c r="D37" s="45"/>
      <c r="E37" s="45"/>
      <c r="F37" s="45"/>
      <c r="G37" s="45"/>
      <c r="H37" s="45"/>
      <c r="I37" s="45"/>
      <c r="J37" s="45"/>
    </row>
    <row r="38" spans="1:11" x14ac:dyDescent="0.25">
      <c r="A38" s="45"/>
      <c r="B38" s="45"/>
      <c r="C38" s="45"/>
      <c r="D38" s="45"/>
      <c r="E38" s="45"/>
      <c r="F38" s="45"/>
      <c r="G38" s="45"/>
      <c r="H38" s="45"/>
      <c r="I38" s="45"/>
      <c r="J38" s="45"/>
      <c r="K38" s="45"/>
    </row>
    <row r="39" spans="1:11" x14ac:dyDescent="0.25">
      <c r="A39" s="45"/>
      <c r="B39" s="45"/>
      <c r="C39" s="45"/>
      <c r="D39" s="45"/>
      <c r="E39" s="45"/>
      <c r="F39" s="45"/>
      <c r="G39" s="45"/>
      <c r="H39" s="45"/>
      <c r="I39" s="45"/>
      <c r="J39" s="45"/>
      <c r="K39" s="45"/>
    </row>
  </sheetData>
  <sheetProtection algorithmName="SHA-512" hashValue="UYREJrhBGOHnOo/Eb1rDzQ9WHLCYDsqdWFXpoxsO7PW+Dfa6/hoGOxXdOfrkJD6gfa0QYnXaq7cbxmy+xif4lQ==" saltValue="J+zMqP7YmcOc7rHqW77qbg==" spinCount="100000" sheet="1" objects="1" scenarios="1"/>
  <mergeCells count="27">
    <mergeCell ref="B18:D18"/>
    <mergeCell ref="B34:J34"/>
    <mergeCell ref="B20:J20"/>
    <mergeCell ref="E22:F22"/>
    <mergeCell ref="G22:H22"/>
    <mergeCell ref="I22:J22"/>
    <mergeCell ref="B31:H31"/>
    <mergeCell ref="B32:H32"/>
    <mergeCell ref="B33:H33"/>
    <mergeCell ref="B25:D25"/>
    <mergeCell ref="B26:D26"/>
    <mergeCell ref="B30:H30"/>
    <mergeCell ref="I30:J30"/>
    <mergeCell ref="B16:D16"/>
    <mergeCell ref="B17:D17"/>
    <mergeCell ref="B3:J4"/>
    <mergeCell ref="B9:D9"/>
    <mergeCell ref="B10:D10"/>
    <mergeCell ref="B13:J13"/>
    <mergeCell ref="E8:F8"/>
    <mergeCell ref="G8:H8"/>
    <mergeCell ref="I8:J8"/>
    <mergeCell ref="E15:F15"/>
    <mergeCell ref="G15:H15"/>
    <mergeCell ref="I15:J15"/>
    <mergeCell ref="B11:D11"/>
    <mergeCell ref="B15:D1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topLeftCell="A10" zoomScaleNormal="100" workbookViewId="0">
      <selection activeCell="D43" sqref="D43"/>
    </sheetView>
  </sheetViews>
  <sheetFormatPr defaultColWidth="9.140625" defaultRowHeight="15" x14ac:dyDescent="0.25"/>
  <cols>
    <col min="1" max="1" width="4.7109375" style="57" customWidth="1"/>
    <col min="2" max="2" width="22.5703125" style="57" customWidth="1"/>
    <col min="3" max="3" width="8.28515625" style="57" customWidth="1"/>
    <col min="4" max="6" width="10.7109375" style="57" customWidth="1"/>
    <col min="7" max="7" width="11.140625" style="57" customWidth="1"/>
    <col min="8" max="8" width="3.28515625" style="57" customWidth="1"/>
    <col min="9" max="9" width="4.85546875" style="57" customWidth="1"/>
    <col min="10" max="16384" width="9.140625" style="57"/>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73" t="s">
        <v>194</v>
      </c>
      <c r="C3" s="173"/>
      <c r="D3" s="173"/>
      <c r="E3" s="173"/>
      <c r="F3" s="173"/>
      <c r="G3" s="173"/>
      <c r="H3" s="173"/>
      <c r="I3" s="1"/>
    </row>
    <row r="4" spans="1:9" ht="15" customHeight="1" x14ac:dyDescent="0.25">
      <c r="A4" s="1"/>
      <c r="B4" s="173"/>
      <c r="C4" s="173"/>
      <c r="D4" s="173"/>
      <c r="E4" s="173"/>
      <c r="F4" s="173"/>
      <c r="G4" s="173"/>
      <c r="H4" s="17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89" t="s">
        <v>233</v>
      </c>
      <c r="C8" s="190"/>
      <c r="D8" s="190"/>
      <c r="E8" s="190"/>
      <c r="F8" s="190"/>
      <c r="G8" s="190"/>
      <c r="H8" s="191"/>
      <c r="I8" s="1"/>
    </row>
    <row r="9" spans="1:9" ht="15" customHeight="1" x14ac:dyDescent="0.25">
      <c r="A9" s="1"/>
      <c r="B9" s="197" t="s">
        <v>195</v>
      </c>
      <c r="C9" s="198"/>
      <c r="D9" s="198"/>
      <c r="E9" s="198"/>
      <c r="F9" s="198"/>
      <c r="G9" s="198"/>
      <c r="H9" s="199"/>
      <c r="I9" s="1"/>
    </row>
    <row r="10" spans="1:9" x14ac:dyDescent="0.25">
      <c r="A10" s="1"/>
      <c r="B10" s="212" t="s">
        <v>214</v>
      </c>
      <c r="C10" s="213"/>
      <c r="D10" s="213"/>
      <c r="E10" s="213"/>
      <c r="F10" s="214"/>
      <c r="G10" s="9">
        <v>0</v>
      </c>
      <c r="H10" s="9" t="s">
        <v>3</v>
      </c>
      <c r="I10" s="1"/>
    </row>
    <row r="11" spans="1:9" x14ac:dyDescent="0.25">
      <c r="A11" s="1"/>
      <c r="B11" s="212" t="s">
        <v>215</v>
      </c>
      <c r="C11" s="213"/>
      <c r="D11" s="213"/>
      <c r="E11" s="213"/>
      <c r="F11" s="214"/>
      <c r="G11" s="9">
        <v>0</v>
      </c>
      <c r="H11" s="9" t="s">
        <v>3</v>
      </c>
      <c r="I11" s="1"/>
    </row>
    <row r="12" spans="1:9" x14ac:dyDescent="0.25">
      <c r="A12" s="1"/>
      <c r="B12" s="212" t="s">
        <v>216</v>
      </c>
      <c r="C12" s="213"/>
      <c r="D12" s="213"/>
      <c r="E12" s="213"/>
      <c r="F12" s="214"/>
      <c r="G12" s="9">
        <v>0</v>
      </c>
      <c r="H12" s="9" t="s">
        <v>3</v>
      </c>
      <c r="I12" s="1"/>
    </row>
    <row r="13" spans="1:9" x14ac:dyDescent="0.25">
      <c r="A13" s="1"/>
      <c r="B13" s="212" t="s">
        <v>217</v>
      </c>
      <c r="C13" s="213"/>
      <c r="D13" s="213"/>
      <c r="E13" s="213"/>
      <c r="F13" s="214"/>
      <c r="G13" s="9">
        <v>0</v>
      </c>
      <c r="H13" s="9" t="s">
        <v>3</v>
      </c>
      <c r="I13" s="1"/>
    </row>
    <row r="14" spans="1:9" x14ac:dyDescent="0.25">
      <c r="A14" s="1"/>
      <c r="B14" s="212" t="s">
        <v>218</v>
      </c>
      <c r="C14" s="213"/>
      <c r="D14" s="213"/>
      <c r="E14" s="213"/>
      <c r="F14" s="214"/>
      <c r="G14" s="9">
        <v>0</v>
      </c>
      <c r="H14" s="9" t="s">
        <v>3</v>
      </c>
      <c r="I14" s="1"/>
    </row>
    <row r="15" spans="1:9" x14ac:dyDescent="0.25">
      <c r="A15" s="1"/>
      <c r="B15" s="212" t="s">
        <v>219</v>
      </c>
      <c r="C15" s="213"/>
      <c r="D15" s="213"/>
      <c r="E15" s="213"/>
      <c r="F15" s="214"/>
      <c r="G15" s="9">
        <v>0</v>
      </c>
      <c r="H15" s="9" t="s">
        <v>3</v>
      </c>
      <c r="I15" s="1"/>
    </row>
    <row r="16" spans="1:9" x14ac:dyDescent="0.25">
      <c r="A16" s="1"/>
      <c r="B16" s="212" t="s">
        <v>220</v>
      </c>
      <c r="C16" s="213"/>
      <c r="D16" s="213"/>
      <c r="E16" s="213"/>
      <c r="F16" s="214"/>
      <c r="G16" s="9">
        <v>0</v>
      </c>
      <c r="H16" s="9" t="s">
        <v>3</v>
      </c>
      <c r="I16" s="1"/>
    </row>
    <row r="17" spans="1:9" x14ac:dyDescent="0.25">
      <c r="A17" s="1"/>
      <c r="B17" s="212" t="s">
        <v>221</v>
      </c>
      <c r="C17" s="213"/>
      <c r="D17" s="213"/>
      <c r="E17" s="213"/>
      <c r="F17" s="214"/>
      <c r="G17" s="9">
        <v>0</v>
      </c>
      <c r="H17" s="9" t="s">
        <v>3</v>
      </c>
      <c r="I17" s="1"/>
    </row>
    <row r="18" spans="1:9" x14ac:dyDescent="0.25">
      <c r="A18" s="1"/>
      <c r="B18" s="189" t="s">
        <v>196</v>
      </c>
      <c r="C18" s="190"/>
      <c r="D18" s="190"/>
      <c r="E18" s="190"/>
      <c r="F18" s="191"/>
      <c r="G18" s="12">
        <f>SUM(G10:G17)</f>
        <v>0</v>
      </c>
      <c r="H18" s="13" t="s">
        <v>3</v>
      </c>
      <c r="I18" s="1"/>
    </row>
    <row r="19" spans="1:9" x14ac:dyDescent="0.25">
      <c r="A19" s="1"/>
      <c r="B19" s="1"/>
      <c r="C19" s="1"/>
      <c r="D19" s="1"/>
      <c r="E19" s="1"/>
      <c r="F19" s="1"/>
      <c r="G19" s="1"/>
      <c r="H19" s="1"/>
      <c r="I19" s="1"/>
    </row>
    <row r="20" spans="1:9" x14ac:dyDescent="0.25">
      <c r="A20" s="1"/>
      <c r="B20" s="189" t="s">
        <v>234</v>
      </c>
      <c r="C20" s="190"/>
      <c r="D20" s="190"/>
      <c r="E20" s="190"/>
      <c r="F20" s="190"/>
      <c r="G20" s="190"/>
      <c r="H20" s="191"/>
      <c r="I20" s="1"/>
    </row>
    <row r="21" spans="1:9" x14ac:dyDescent="0.25">
      <c r="A21" s="1"/>
      <c r="B21" s="197" t="s">
        <v>195</v>
      </c>
      <c r="C21" s="198"/>
      <c r="D21" s="198"/>
      <c r="E21" s="198"/>
      <c r="F21" s="198"/>
      <c r="G21" s="198"/>
      <c r="H21" s="199"/>
      <c r="I21" s="1"/>
    </row>
    <row r="22" spans="1:9" x14ac:dyDescent="0.25">
      <c r="A22" s="1"/>
      <c r="B22" s="212" t="s">
        <v>214</v>
      </c>
      <c r="C22" s="213"/>
      <c r="D22" s="213"/>
      <c r="E22" s="213"/>
      <c r="F22" s="214"/>
      <c r="G22" s="9">
        <v>0</v>
      </c>
      <c r="H22" s="9" t="s">
        <v>3</v>
      </c>
      <c r="I22" s="1"/>
    </row>
    <row r="23" spans="1:9" x14ac:dyDescent="0.25">
      <c r="A23" s="1"/>
      <c r="B23" s="212" t="s">
        <v>215</v>
      </c>
      <c r="C23" s="213"/>
      <c r="D23" s="213"/>
      <c r="E23" s="213"/>
      <c r="F23" s="214"/>
      <c r="G23" s="9">
        <v>0</v>
      </c>
      <c r="H23" s="9" t="s">
        <v>3</v>
      </c>
      <c r="I23" s="1"/>
    </row>
    <row r="24" spans="1:9" x14ac:dyDescent="0.25">
      <c r="A24" s="1"/>
      <c r="B24" s="212" t="s">
        <v>216</v>
      </c>
      <c r="C24" s="213"/>
      <c r="D24" s="213"/>
      <c r="E24" s="213"/>
      <c r="F24" s="214"/>
      <c r="G24" s="9">
        <v>0</v>
      </c>
      <c r="H24" s="9" t="s">
        <v>3</v>
      </c>
      <c r="I24" s="1"/>
    </row>
    <row r="25" spans="1:9" x14ac:dyDescent="0.25">
      <c r="A25" s="1"/>
      <c r="B25" s="212" t="s">
        <v>217</v>
      </c>
      <c r="C25" s="213"/>
      <c r="D25" s="213"/>
      <c r="E25" s="213"/>
      <c r="F25" s="214"/>
      <c r="G25" s="9">
        <v>0</v>
      </c>
      <c r="H25" s="9" t="s">
        <v>3</v>
      </c>
      <c r="I25" s="1"/>
    </row>
    <row r="26" spans="1:9" x14ac:dyDescent="0.25">
      <c r="A26" s="1"/>
      <c r="B26" s="212" t="s">
        <v>218</v>
      </c>
      <c r="C26" s="213"/>
      <c r="D26" s="213"/>
      <c r="E26" s="213"/>
      <c r="F26" s="214"/>
      <c r="G26" s="9">
        <v>0</v>
      </c>
      <c r="H26" s="9" t="s">
        <v>3</v>
      </c>
      <c r="I26" s="1"/>
    </row>
    <row r="27" spans="1:9" x14ac:dyDescent="0.25">
      <c r="A27" s="1"/>
      <c r="B27" s="212" t="s">
        <v>219</v>
      </c>
      <c r="C27" s="213"/>
      <c r="D27" s="213"/>
      <c r="E27" s="213"/>
      <c r="F27" s="214"/>
      <c r="G27" s="9">
        <v>0</v>
      </c>
      <c r="H27" s="9" t="s">
        <v>3</v>
      </c>
      <c r="I27" s="1"/>
    </row>
    <row r="28" spans="1:9" x14ac:dyDescent="0.25">
      <c r="A28" s="1"/>
      <c r="B28" s="212" t="s">
        <v>220</v>
      </c>
      <c r="C28" s="213"/>
      <c r="D28" s="213"/>
      <c r="E28" s="213"/>
      <c r="F28" s="214"/>
      <c r="G28" s="9">
        <v>0</v>
      </c>
      <c r="H28" s="9" t="s">
        <v>3</v>
      </c>
      <c r="I28" s="1"/>
    </row>
    <row r="29" spans="1:9" x14ac:dyDescent="0.25">
      <c r="A29" s="1"/>
      <c r="B29" s="212" t="s">
        <v>221</v>
      </c>
      <c r="C29" s="213"/>
      <c r="D29" s="213"/>
      <c r="E29" s="213"/>
      <c r="F29" s="214"/>
      <c r="G29" s="9">
        <v>0</v>
      </c>
      <c r="H29" s="9" t="s">
        <v>3</v>
      </c>
      <c r="I29" s="1"/>
    </row>
    <row r="30" spans="1:9" x14ac:dyDescent="0.25">
      <c r="A30" s="1"/>
      <c r="B30" s="189" t="s">
        <v>196</v>
      </c>
      <c r="C30" s="190"/>
      <c r="D30" s="190"/>
      <c r="E30" s="190"/>
      <c r="F30" s="191"/>
      <c r="G30" s="12">
        <f>SUM(G22:G29)</f>
        <v>0</v>
      </c>
      <c r="H30" s="13" t="s">
        <v>3</v>
      </c>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XdfJtcTT/iSmxVJxs4ZVKyqxXUEGSYfzwlrdNlCriKiMtfmf37jrTouui3Cy+5OsILHGuFDP2W0jGwhIZcagQ==" saltValue="dRIKpJ1CsBNIdsLmvvVKsA==" spinCount="100000" sheet="1" objects="1" scenarios="1"/>
  <mergeCells count="23">
    <mergeCell ref="B17:F17"/>
    <mergeCell ref="B18:F18"/>
    <mergeCell ref="B12:F12"/>
    <mergeCell ref="B13:F13"/>
    <mergeCell ref="B14:F14"/>
    <mergeCell ref="B15:F15"/>
    <mergeCell ref="B16:F16"/>
    <mergeCell ref="B11:F11"/>
    <mergeCell ref="B10:F10"/>
    <mergeCell ref="B9:H9"/>
    <mergeCell ref="B3:H4"/>
    <mergeCell ref="B8:H8"/>
    <mergeCell ref="B20:H20"/>
    <mergeCell ref="B21:H21"/>
    <mergeCell ref="B22:F22"/>
    <mergeCell ref="B23:F23"/>
    <mergeCell ref="B24:F24"/>
    <mergeCell ref="B30:F30"/>
    <mergeCell ref="B25:F25"/>
    <mergeCell ref="B26:F26"/>
    <mergeCell ref="B27:F27"/>
    <mergeCell ref="B28:F28"/>
    <mergeCell ref="B29:F29"/>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election activeCell="E16" sqref="E16"/>
    </sheetView>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75" t="s">
        <v>198</v>
      </c>
      <c r="C3" s="175"/>
      <c r="D3" s="175"/>
      <c r="E3" s="175"/>
      <c r="F3" s="175"/>
      <c r="G3" s="1"/>
    </row>
    <row r="4" spans="1:7" ht="15" customHeight="1" x14ac:dyDescent="0.25">
      <c r="A4" s="1"/>
      <c r="B4" s="175"/>
      <c r="C4" s="175"/>
      <c r="D4" s="175"/>
      <c r="E4" s="175"/>
      <c r="F4" s="17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89" t="s">
        <v>284</v>
      </c>
      <c r="C9" s="190"/>
      <c r="D9" s="190"/>
      <c r="E9" s="190"/>
      <c r="F9" s="191"/>
      <c r="G9" s="1"/>
    </row>
    <row r="10" spans="1:7" x14ac:dyDescent="0.25">
      <c r="A10" s="1"/>
      <c r="B10" s="176" t="s">
        <v>91</v>
      </c>
      <c r="C10" s="177"/>
      <c r="D10" s="178"/>
      <c r="E10" s="7">
        <v>0</v>
      </c>
      <c r="F10" s="8" t="s">
        <v>3</v>
      </c>
      <c r="G10" s="1"/>
    </row>
    <row r="11" spans="1:7" x14ac:dyDescent="0.25">
      <c r="A11" s="1"/>
      <c r="B11" s="183" t="s">
        <v>283</v>
      </c>
      <c r="C11" s="184"/>
      <c r="D11" s="185"/>
      <c r="E11" s="7">
        <v>0</v>
      </c>
      <c r="F11" s="8" t="s">
        <v>3</v>
      </c>
      <c r="G11" s="1"/>
    </row>
    <row r="12" spans="1:7" x14ac:dyDescent="0.25">
      <c r="A12" s="1"/>
      <c r="B12" s="206" t="s">
        <v>92</v>
      </c>
      <c r="C12" s="207"/>
      <c r="D12" s="208"/>
      <c r="E12" s="10">
        <f>E11-E10</f>
        <v>0</v>
      </c>
      <c r="F12" s="11" t="s">
        <v>3</v>
      </c>
      <c r="G12" s="1"/>
    </row>
    <row r="13" spans="1:7" x14ac:dyDescent="0.25">
      <c r="A13" s="1"/>
      <c r="B13" s="189" t="s">
        <v>87</v>
      </c>
      <c r="C13" s="190"/>
      <c r="D13" s="190"/>
      <c r="E13" s="190"/>
      <c r="F13" s="191"/>
      <c r="G13" s="1"/>
    </row>
    <row r="14" spans="1:7" x14ac:dyDescent="0.25">
      <c r="A14" s="1"/>
      <c r="B14" s="183" t="s">
        <v>285</v>
      </c>
      <c r="C14" s="184"/>
      <c r="D14" s="185"/>
      <c r="E14" s="9">
        <v>0</v>
      </c>
      <c r="F14" s="8" t="s">
        <v>3</v>
      </c>
      <c r="G14" s="1"/>
    </row>
    <row r="15" spans="1:7" x14ac:dyDescent="0.25">
      <c r="A15" s="1"/>
      <c r="B15" s="176" t="s">
        <v>286</v>
      </c>
      <c r="C15" s="177"/>
      <c r="D15" s="178"/>
      <c r="E15" s="9">
        <v>0</v>
      </c>
      <c r="F15" s="8" t="s">
        <v>3</v>
      </c>
      <c r="G15" s="1"/>
    </row>
    <row r="16" spans="1:7" x14ac:dyDescent="0.25">
      <c r="A16" s="1"/>
      <c r="B16" s="206" t="s">
        <v>92</v>
      </c>
      <c r="C16" s="207"/>
      <c r="D16" s="208"/>
      <c r="E16" s="10">
        <f>E15-E14</f>
        <v>0</v>
      </c>
      <c r="F16" s="11" t="s">
        <v>3</v>
      </c>
      <c r="G16" s="1"/>
    </row>
    <row r="17" spans="1:7" x14ac:dyDescent="0.25">
      <c r="A17" s="1"/>
      <c r="B17" s="32" t="s">
        <v>287</v>
      </c>
      <c r="C17" s="27"/>
      <c r="D17" s="27"/>
      <c r="E17" s="12">
        <f>E12+E16</f>
        <v>0</v>
      </c>
      <c r="F17" s="13" t="s">
        <v>3</v>
      </c>
      <c r="G17" s="1"/>
    </row>
    <row r="18" spans="1:7" x14ac:dyDescent="0.25">
      <c r="A18" s="1"/>
      <c r="B18" s="1"/>
      <c r="C18" s="1"/>
      <c r="D18" s="1"/>
      <c r="E18" s="1"/>
      <c r="F18" s="1"/>
      <c r="G18" s="1"/>
    </row>
    <row r="19" spans="1:7" x14ac:dyDescent="0.25">
      <c r="A19" s="1"/>
      <c r="B19" s="189" t="s">
        <v>288</v>
      </c>
      <c r="C19" s="190"/>
      <c r="D19" s="190"/>
      <c r="E19" s="190"/>
      <c r="F19" s="191"/>
      <c r="G19" s="1"/>
    </row>
    <row r="20" spans="1:7" x14ac:dyDescent="0.25">
      <c r="A20" s="1"/>
      <c r="B20" s="176" t="s">
        <v>91</v>
      </c>
      <c r="C20" s="177"/>
      <c r="D20" s="178"/>
      <c r="E20" s="7">
        <v>0</v>
      </c>
      <c r="F20" s="8" t="s">
        <v>3</v>
      </c>
      <c r="G20" s="1"/>
    </row>
    <row r="21" spans="1:7" x14ac:dyDescent="0.25">
      <c r="A21" s="1"/>
      <c r="B21" s="183" t="s">
        <v>283</v>
      </c>
      <c r="C21" s="184"/>
      <c r="D21" s="185"/>
      <c r="E21" s="7">
        <v>0</v>
      </c>
      <c r="F21" s="8" t="s">
        <v>3</v>
      </c>
      <c r="G21" s="1"/>
    </row>
    <row r="22" spans="1:7" x14ac:dyDescent="0.25">
      <c r="A22" s="1"/>
      <c r="B22" s="206" t="s">
        <v>92</v>
      </c>
      <c r="C22" s="207"/>
      <c r="D22" s="208"/>
      <c r="E22" s="10">
        <f>E21-E20</f>
        <v>0</v>
      </c>
      <c r="F22" s="11" t="s">
        <v>3</v>
      </c>
      <c r="G22" s="1"/>
    </row>
    <row r="23" spans="1:7" x14ac:dyDescent="0.25">
      <c r="A23" s="1"/>
      <c r="B23" s="189" t="s">
        <v>87</v>
      </c>
      <c r="C23" s="190"/>
      <c r="D23" s="190"/>
      <c r="E23" s="190"/>
      <c r="F23" s="191"/>
      <c r="G23" s="1"/>
    </row>
    <row r="24" spans="1:7" x14ac:dyDescent="0.25">
      <c r="A24" s="1"/>
      <c r="B24" s="183" t="s">
        <v>285</v>
      </c>
      <c r="C24" s="184"/>
      <c r="D24" s="185"/>
      <c r="E24" s="9">
        <v>0</v>
      </c>
      <c r="F24" s="8" t="s">
        <v>3</v>
      </c>
      <c r="G24" s="1"/>
    </row>
    <row r="25" spans="1:7" x14ac:dyDescent="0.25">
      <c r="A25" s="1"/>
      <c r="B25" s="176" t="s">
        <v>286</v>
      </c>
      <c r="C25" s="177"/>
      <c r="D25" s="178"/>
      <c r="E25" s="9">
        <v>0</v>
      </c>
      <c r="F25" s="8" t="s">
        <v>3</v>
      </c>
      <c r="G25" s="1"/>
    </row>
    <row r="26" spans="1:7" x14ac:dyDescent="0.25">
      <c r="A26" s="1"/>
      <c r="B26" s="206" t="s">
        <v>92</v>
      </c>
      <c r="C26" s="207"/>
      <c r="D26" s="208"/>
      <c r="E26" s="10">
        <f>E25-E24</f>
        <v>0</v>
      </c>
      <c r="F26" s="11" t="s">
        <v>3</v>
      </c>
      <c r="G26" s="1"/>
    </row>
    <row r="27" spans="1:7" x14ac:dyDescent="0.25">
      <c r="A27" s="1"/>
      <c r="B27" s="32" t="s">
        <v>166</v>
      </c>
      <c r="C27" s="27"/>
      <c r="D27" s="27"/>
      <c r="E27" s="12">
        <f>E22+E26</f>
        <v>0</v>
      </c>
      <c r="F27" s="13"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UivYVyAhxvhKfyeHoLgtW/Z28r5zb1jCqwi0YY5UfJ0K/s5gzw1gGtbZuzOJmAI4vxxmqU+kUrrBoh3OxAu/g==" saltValue="1CPOWWyAAd3+vrq7HxOlpg==" spinCount="100000" sheet="1" objects="1" scenarios="1"/>
  <mergeCells count="17">
    <mergeCell ref="B13:F13"/>
    <mergeCell ref="B16:D16"/>
    <mergeCell ref="B3:F4"/>
    <mergeCell ref="B10:D10"/>
    <mergeCell ref="B11:D11"/>
    <mergeCell ref="B14:D14"/>
    <mergeCell ref="B15:D15"/>
    <mergeCell ref="B9:F9"/>
    <mergeCell ref="B12:D12"/>
    <mergeCell ref="B24:D24"/>
    <mergeCell ref="B25:D25"/>
    <mergeCell ref="B26:D26"/>
    <mergeCell ref="B19:F19"/>
    <mergeCell ref="B20:D20"/>
    <mergeCell ref="B21:D21"/>
    <mergeCell ref="B22:D22"/>
    <mergeCell ref="B23:F23"/>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7"/>
  <sheetViews>
    <sheetView showGridLines="0" view="pageLayout" zoomScaleNormal="100" workbookViewId="0">
      <selection activeCell="F20" sqref="F20"/>
    </sheetView>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73" t="s">
        <v>199</v>
      </c>
      <c r="C3" s="173"/>
      <c r="D3" s="173"/>
      <c r="E3" s="173"/>
      <c r="F3" s="173"/>
      <c r="G3" s="173"/>
      <c r="H3" s="173"/>
      <c r="I3" s="173"/>
      <c r="J3" s="173"/>
      <c r="K3" s="173"/>
      <c r="L3" s="1"/>
    </row>
    <row r="4" spans="1:12" ht="15" customHeight="1" x14ac:dyDescent="0.25">
      <c r="A4" s="1"/>
      <c r="B4" s="173"/>
      <c r="C4" s="173"/>
      <c r="D4" s="173"/>
      <c r="E4" s="173"/>
      <c r="F4" s="173"/>
      <c r="G4" s="173"/>
      <c r="H4" s="173"/>
      <c r="I4" s="173"/>
      <c r="J4" s="173"/>
      <c r="K4" s="17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89" t="s">
        <v>231</v>
      </c>
      <c r="C8" s="190"/>
      <c r="D8" s="190"/>
      <c r="E8" s="190"/>
      <c r="F8" s="190"/>
      <c r="G8" s="190"/>
      <c r="H8" s="190"/>
      <c r="I8" s="190"/>
      <c r="J8" s="190"/>
      <c r="K8" s="191"/>
      <c r="L8" s="1"/>
    </row>
    <row r="9" spans="1:12" ht="39.75" customHeight="1" x14ac:dyDescent="0.25">
      <c r="A9" s="1"/>
      <c r="B9" s="18" t="s">
        <v>0</v>
      </c>
      <c r="C9" s="18" t="s">
        <v>1</v>
      </c>
      <c r="D9" s="215" t="s">
        <v>189</v>
      </c>
      <c r="E9" s="216"/>
      <c r="F9" s="215" t="s">
        <v>2</v>
      </c>
      <c r="G9" s="216"/>
      <c r="H9" s="215" t="s">
        <v>188</v>
      </c>
      <c r="I9" s="216"/>
      <c r="J9" s="215" t="s">
        <v>30</v>
      </c>
      <c r="K9" s="216"/>
      <c r="L9" s="1"/>
    </row>
    <row r="10" spans="1:12" x14ac:dyDescent="0.25">
      <c r="A10" s="1"/>
      <c r="B10" s="79" t="s">
        <v>213</v>
      </c>
      <c r="C10" s="41">
        <v>0</v>
      </c>
      <c r="D10" s="9">
        <v>0</v>
      </c>
      <c r="E10" s="14" t="s">
        <v>3</v>
      </c>
      <c r="F10" s="9">
        <f>IFERROR(D10/C10,0)</f>
        <v>0</v>
      </c>
      <c r="G10" s="14" t="s">
        <v>3</v>
      </c>
      <c r="H10" s="43">
        <v>0</v>
      </c>
      <c r="I10" s="14" t="s">
        <v>3</v>
      </c>
      <c r="J10" s="43">
        <v>0</v>
      </c>
      <c r="K10" s="14" t="s">
        <v>3</v>
      </c>
      <c r="L10" s="1"/>
    </row>
    <row r="11" spans="1:12" x14ac:dyDescent="0.25">
      <c r="A11" s="1"/>
      <c r="B11" s="71" t="s">
        <v>172</v>
      </c>
      <c r="C11" s="72"/>
      <c r="D11" s="73"/>
      <c r="E11" s="73"/>
      <c r="F11" s="12">
        <f>SUM(F10:F10)</f>
        <v>0</v>
      </c>
      <c r="G11" s="12" t="s">
        <v>187</v>
      </c>
      <c r="H11" s="12">
        <f>SUM(H10:H10)</f>
        <v>0</v>
      </c>
      <c r="I11" s="12" t="s">
        <v>187</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89" t="s">
        <v>232</v>
      </c>
      <c r="C13" s="190"/>
      <c r="D13" s="190"/>
      <c r="E13" s="190"/>
      <c r="F13" s="190"/>
      <c r="G13" s="190"/>
      <c r="H13" s="190"/>
      <c r="I13" s="190"/>
      <c r="J13" s="190"/>
      <c r="K13" s="191"/>
      <c r="L13" s="1"/>
    </row>
    <row r="14" spans="1:12" ht="39" x14ac:dyDescent="0.25">
      <c r="A14" s="1"/>
      <c r="B14" s="18" t="s">
        <v>0</v>
      </c>
      <c r="C14" s="18" t="s">
        <v>1</v>
      </c>
      <c r="D14" s="215" t="s">
        <v>189</v>
      </c>
      <c r="E14" s="216"/>
      <c r="F14" s="215" t="s">
        <v>2</v>
      </c>
      <c r="G14" s="216"/>
      <c r="H14" s="215" t="s">
        <v>188</v>
      </c>
      <c r="I14" s="216"/>
      <c r="J14" s="215" t="s">
        <v>30</v>
      </c>
      <c r="K14" s="216"/>
      <c r="L14" s="1"/>
    </row>
    <row r="15" spans="1:12" x14ac:dyDescent="0.25">
      <c r="A15" s="1"/>
      <c r="B15" s="88" t="s">
        <v>213</v>
      </c>
      <c r="C15" s="41">
        <v>0</v>
      </c>
      <c r="D15" s="9">
        <v>0</v>
      </c>
      <c r="E15" s="14" t="s">
        <v>3</v>
      </c>
      <c r="F15" s="9">
        <f>IFERROR(D15/C15,0)</f>
        <v>0</v>
      </c>
      <c r="G15" s="14" t="s">
        <v>3</v>
      </c>
      <c r="H15" s="43">
        <v>0</v>
      </c>
      <c r="I15" s="14" t="s">
        <v>3</v>
      </c>
      <c r="J15" s="43">
        <v>0</v>
      </c>
      <c r="K15" s="14" t="s">
        <v>3</v>
      </c>
      <c r="L15" s="1"/>
    </row>
    <row r="16" spans="1:12" x14ac:dyDescent="0.25">
      <c r="A16" s="1"/>
      <c r="B16" s="83" t="s">
        <v>172</v>
      </c>
      <c r="C16" s="84"/>
      <c r="D16" s="85"/>
      <c r="E16" s="85"/>
      <c r="F16" s="12">
        <f>SUM(F15:F15)</f>
        <v>0</v>
      </c>
      <c r="G16" s="12" t="s">
        <v>187</v>
      </c>
      <c r="H16" s="12">
        <f>SUM(H15:H15)</f>
        <v>0</v>
      </c>
      <c r="I16" s="12" t="s">
        <v>187</v>
      </c>
      <c r="J16" s="12">
        <f>SUM(J15:J15)</f>
        <v>0</v>
      </c>
      <c r="K16" s="13" t="s">
        <v>3</v>
      </c>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sheetData>
  <sheetProtection algorithmName="SHA-512" hashValue="AvLZ+zsUkylWdcmNlJ5vlctDAsSyPqZRm8lHCuV+ra3dWil6tLPiZQbb8ZfGT+Gtws652maYoG98oHRleP4jEQ==" saltValue="Q0xe37y3rEPvt11NZhC1EQ==" spinCount="100000" sheet="1" objects="1" scenarios="1"/>
  <mergeCells count="11">
    <mergeCell ref="B3:K4"/>
    <mergeCell ref="B8:K8"/>
    <mergeCell ref="F9:G9"/>
    <mergeCell ref="H9:I9"/>
    <mergeCell ref="J9:K9"/>
    <mergeCell ref="D9:E9"/>
    <mergeCell ref="B13:K13"/>
    <mergeCell ref="D14:E14"/>
    <mergeCell ref="F14:G14"/>
    <mergeCell ref="H14:I14"/>
    <mergeCell ref="J14:K1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election activeCell="E19" activeCellId="1" sqref="C19 E19"/>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73" t="s">
        <v>200</v>
      </c>
      <c r="C3" s="173"/>
      <c r="D3" s="173"/>
      <c r="E3" s="173"/>
      <c r="F3" s="173"/>
      <c r="G3" s="1"/>
    </row>
    <row r="4" spans="1:7" ht="15" customHeight="1" x14ac:dyDescent="0.25">
      <c r="A4" s="1"/>
      <c r="B4" s="173"/>
      <c r="C4" s="173"/>
      <c r="D4" s="173"/>
      <c r="E4" s="173"/>
      <c r="F4" s="17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228</v>
      </c>
      <c r="C8" s="27"/>
      <c r="D8" s="27"/>
      <c r="E8" s="27"/>
      <c r="F8" s="19"/>
      <c r="G8" s="1"/>
    </row>
    <row r="9" spans="1:7" ht="17.25" customHeight="1" x14ac:dyDescent="0.25">
      <c r="A9" s="1"/>
      <c r="B9" s="69" t="s">
        <v>17</v>
      </c>
      <c r="C9" s="69" t="s">
        <v>11</v>
      </c>
      <c r="D9" s="70"/>
      <c r="E9" s="69" t="s">
        <v>31</v>
      </c>
      <c r="F9" s="31"/>
      <c r="G9" s="1"/>
    </row>
    <row r="10" spans="1:7" x14ac:dyDescent="0.25">
      <c r="A10" s="1"/>
      <c r="B10" s="23" t="s">
        <v>176</v>
      </c>
      <c r="C10" s="21">
        <f>'Fane 10. Anlægsprojekter (§ 19)'!H11</f>
        <v>0</v>
      </c>
      <c r="D10" s="14" t="s">
        <v>3</v>
      </c>
      <c r="E10" s="9">
        <f>SUM('Fane 10. Anlægsprojekter (§ 19)'!F11,'Fane 10. Anlægsprojekter (§ 19)'!J11)</f>
        <v>0</v>
      </c>
      <c r="F10" s="14" t="s">
        <v>3</v>
      </c>
      <c r="G10" s="1"/>
    </row>
    <row r="11" spans="1:7" x14ac:dyDescent="0.25">
      <c r="A11" s="1"/>
      <c r="B11" s="23" t="s">
        <v>289</v>
      </c>
      <c r="C11" s="21">
        <v>3775900</v>
      </c>
      <c r="D11" s="14" t="s">
        <v>3</v>
      </c>
      <c r="E11" s="9">
        <f>SUM('Fane 10. Anlægsprojekter (§ 19)'!F12,'Fane 10. Anlægsprojekter (§ 19)'!J12)</f>
        <v>0</v>
      </c>
      <c r="F11" s="14" t="s">
        <v>3</v>
      </c>
      <c r="G11" s="1"/>
    </row>
    <row r="12" spans="1:7" x14ac:dyDescent="0.25">
      <c r="A12" s="1"/>
      <c r="B12" s="32" t="s">
        <v>167</v>
      </c>
      <c r="C12" s="12">
        <f>SUM(C10:C11)</f>
        <v>3775900</v>
      </c>
      <c r="D12" s="13" t="s">
        <v>3</v>
      </c>
      <c r="E12" s="12">
        <f>SUM(E10:E11)</f>
        <v>0</v>
      </c>
      <c r="F12" s="13" t="s">
        <v>3</v>
      </c>
      <c r="G12" s="1"/>
    </row>
    <row r="13" spans="1:7" x14ac:dyDescent="0.25">
      <c r="A13" s="1"/>
      <c r="B13" s="32" t="s">
        <v>290</v>
      </c>
      <c r="C13" s="12">
        <f>C12*(1+'Fane 15. Nøgletal'!C16)</f>
        <v>4080992.7199999997</v>
      </c>
      <c r="D13" s="13" t="s">
        <v>3</v>
      </c>
      <c r="E13" s="12">
        <f>E12*(1+'Fane 15. Nøgletal'!C16)</f>
        <v>0</v>
      </c>
      <c r="F13" s="13" t="s">
        <v>3</v>
      </c>
      <c r="G13" s="1"/>
    </row>
    <row r="14" spans="1:7" x14ac:dyDescent="0.25">
      <c r="A14" s="1"/>
      <c r="B14" s="1"/>
      <c r="C14" s="1"/>
      <c r="D14" s="1"/>
      <c r="E14" s="1"/>
      <c r="F14" s="1"/>
      <c r="G14" s="1"/>
    </row>
    <row r="15" spans="1:7" x14ac:dyDescent="0.25">
      <c r="A15" s="1"/>
      <c r="B15" s="32" t="s">
        <v>229</v>
      </c>
      <c r="C15" s="27"/>
      <c r="D15" s="27"/>
      <c r="E15" s="27"/>
      <c r="F15" s="19"/>
      <c r="G15" s="1"/>
    </row>
    <row r="16" spans="1:7" x14ac:dyDescent="0.25">
      <c r="A16" s="1"/>
      <c r="B16" s="81" t="s">
        <v>17</v>
      </c>
      <c r="C16" s="81" t="s">
        <v>11</v>
      </c>
      <c r="D16" s="82"/>
      <c r="E16" s="81" t="s">
        <v>31</v>
      </c>
      <c r="F16" s="31"/>
      <c r="G16" s="1"/>
    </row>
    <row r="17" spans="1:7" x14ac:dyDescent="0.25">
      <c r="A17" s="1"/>
      <c r="B17" s="23" t="s">
        <v>176</v>
      </c>
      <c r="C17" s="21">
        <f>'Fane 10. Anlægsprojekter (§ 19)'!H17</f>
        <v>0</v>
      </c>
      <c r="D17" s="14" t="s">
        <v>3</v>
      </c>
      <c r="E17" s="9">
        <f>SUM('Fane 10. Anlægsprojekter (§ 19)'!F17,'Fane 10. Anlægsprojekter (§ 19)'!J17)</f>
        <v>0</v>
      </c>
      <c r="F17" s="14" t="s">
        <v>3</v>
      </c>
      <c r="G17" s="1"/>
    </row>
    <row r="18" spans="1:7" x14ac:dyDescent="0.25">
      <c r="A18" s="1"/>
      <c r="B18" s="23" t="s">
        <v>230</v>
      </c>
      <c r="C18" s="21">
        <v>493486</v>
      </c>
      <c r="D18" s="14" t="s">
        <v>3</v>
      </c>
      <c r="E18" s="9">
        <v>222038</v>
      </c>
      <c r="F18" s="14" t="s">
        <v>3</v>
      </c>
      <c r="G18" s="1"/>
    </row>
    <row r="19" spans="1:7" x14ac:dyDescent="0.25">
      <c r="A19" s="1"/>
      <c r="B19" s="32" t="s">
        <v>167</v>
      </c>
      <c r="C19" s="12">
        <f>SUM(C17:C18)</f>
        <v>493486</v>
      </c>
      <c r="D19" s="13" t="s">
        <v>3</v>
      </c>
      <c r="E19" s="12">
        <f>SUM(E17:E18)</f>
        <v>222038</v>
      </c>
      <c r="F19" s="13" t="s">
        <v>3</v>
      </c>
      <c r="G19" s="1"/>
    </row>
    <row r="20" spans="1:7" x14ac:dyDescent="0.25">
      <c r="A20" s="1"/>
      <c r="B20" s="32" t="s">
        <v>290</v>
      </c>
      <c r="C20" s="12">
        <f>C19*(1+'Fane 15. Nøgletal'!C16)</f>
        <v>533359.66879999998</v>
      </c>
      <c r="D20" s="13" t="s">
        <v>3</v>
      </c>
      <c r="E20" s="12">
        <f>E19*(1+'Fane 15. Nøgletal'!C16)</f>
        <v>239978.6704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XLFvjuU2vyeQ7bdrgSZOJH6U4HPCA/rcyPBhmgIWqD2sfQhWOBaxr4E8BrkW6N16C9PSA6F8/qPVgGIlKbjsg==" saltValue="6FPHXQ4pISjZNk+DMWRJy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topLeftCell="A4" zoomScaleNormal="100" workbookViewId="0">
      <selection activeCell="E19" sqref="E19"/>
    </sheetView>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73" t="s">
        <v>201</v>
      </c>
      <c r="C3" s="173"/>
      <c r="D3" s="173"/>
      <c r="E3" s="173"/>
      <c r="F3" s="173"/>
      <c r="G3" s="1"/>
    </row>
    <row r="4" spans="1:7" ht="15" customHeight="1" x14ac:dyDescent="0.25">
      <c r="A4" s="1"/>
      <c r="B4" s="173"/>
      <c r="C4" s="173"/>
      <c r="D4" s="173"/>
      <c r="E4" s="173"/>
      <c r="F4" s="17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89" t="s">
        <v>291</v>
      </c>
      <c r="C8" s="190"/>
      <c r="D8" s="190"/>
      <c r="E8" s="190"/>
      <c r="F8" s="191"/>
      <c r="G8" s="1"/>
    </row>
    <row r="9" spans="1:7" x14ac:dyDescent="0.25">
      <c r="A9" s="1"/>
      <c r="B9" s="69" t="s">
        <v>17</v>
      </c>
      <c r="C9" s="69" t="s">
        <v>11</v>
      </c>
      <c r="D9" s="70"/>
      <c r="E9" s="69" t="s">
        <v>31</v>
      </c>
      <c r="F9" s="31"/>
      <c r="G9" s="1"/>
    </row>
    <row r="10" spans="1:7" x14ac:dyDescent="0.25">
      <c r="A10" s="1"/>
      <c r="B10" s="23" t="s">
        <v>222</v>
      </c>
      <c r="C10" s="21">
        <v>0</v>
      </c>
      <c r="D10" s="14" t="s">
        <v>3</v>
      </c>
      <c r="E10" s="9">
        <v>0</v>
      </c>
      <c r="F10" s="14" t="s">
        <v>3</v>
      </c>
      <c r="G10" s="1"/>
    </row>
    <row r="11" spans="1:7" x14ac:dyDescent="0.25">
      <c r="A11" s="1"/>
      <c r="B11" s="32" t="s">
        <v>293</v>
      </c>
      <c r="C11" s="12">
        <f>SUM(C10:C10)</f>
        <v>0</v>
      </c>
      <c r="D11" s="13" t="s">
        <v>3</v>
      </c>
      <c r="E11" s="12">
        <f>SUM(E10:E10)</f>
        <v>0</v>
      </c>
      <c r="F11" s="13" t="s">
        <v>3</v>
      </c>
      <c r="G11" s="1"/>
    </row>
    <row r="12" spans="1:7" x14ac:dyDescent="0.25">
      <c r="A12" s="1"/>
      <c r="B12" s="32" t="s">
        <v>294</v>
      </c>
      <c r="C12" s="12">
        <f>C11*(1+'Fane 15. Nøgletal'!C16)^2</f>
        <v>0</v>
      </c>
      <c r="D12" s="13" t="s">
        <v>3</v>
      </c>
      <c r="E12" s="12">
        <f>E11*(1+'Fane 15. Nøgletal'!C16)^2</f>
        <v>0</v>
      </c>
      <c r="F12" s="13" t="s">
        <v>3</v>
      </c>
      <c r="G12" s="1"/>
    </row>
    <row r="13" spans="1:7" x14ac:dyDescent="0.25">
      <c r="A13" s="1"/>
      <c r="B13" s="1"/>
      <c r="C13" s="1"/>
      <c r="D13" s="1"/>
      <c r="E13" s="1"/>
      <c r="F13" s="1"/>
      <c r="G13" s="1"/>
    </row>
    <row r="14" spans="1:7" x14ac:dyDescent="0.25">
      <c r="A14" s="1"/>
      <c r="B14" s="189" t="s">
        <v>292</v>
      </c>
      <c r="C14" s="190"/>
      <c r="D14" s="190"/>
      <c r="E14" s="190"/>
      <c r="F14" s="191"/>
      <c r="G14" s="1"/>
    </row>
    <row r="15" spans="1:7" x14ac:dyDescent="0.25">
      <c r="A15" s="1"/>
      <c r="B15" s="81" t="s">
        <v>17</v>
      </c>
      <c r="C15" s="81" t="s">
        <v>11</v>
      </c>
      <c r="D15" s="82"/>
      <c r="E15" s="81" t="s">
        <v>31</v>
      </c>
      <c r="F15" s="31"/>
      <c r="G15" s="1"/>
    </row>
    <row r="16" spans="1:7" x14ac:dyDescent="0.25">
      <c r="A16" s="1"/>
      <c r="B16" s="23" t="s">
        <v>222</v>
      </c>
      <c r="C16" s="21">
        <v>0</v>
      </c>
      <c r="D16" s="14" t="s">
        <v>3</v>
      </c>
      <c r="E16" s="9">
        <v>0</v>
      </c>
      <c r="F16" s="14" t="s">
        <v>3</v>
      </c>
      <c r="G16" s="1"/>
    </row>
    <row r="17" spans="1:7" x14ac:dyDescent="0.25">
      <c r="A17" s="1"/>
      <c r="B17" s="32" t="s">
        <v>293</v>
      </c>
      <c r="C17" s="12">
        <f>SUM(C16:C16)</f>
        <v>0</v>
      </c>
      <c r="D17" s="13" t="s">
        <v>3</v>
      </c>
      <c r="E17" s="12">
        <f>SUM(E16:E16)</f>
        <v>0</v>
      </c>
      <c r="F17" s="13" t="s">
        <v>3</v>
      </c>
      <c r="G17" s="1"/>
    </row>
    <row r="18" spans="1:7" x14ac:dyDescent="0.25">
      <c r="A18" s="1"/>
      <c r="B18" s="32" t="s">
        <v>294</v>
      </c>
      <c r="C18" s="12">
        <f>C17*(1+'Fane 15. Nøgletal'!C16)^2</f>
        <v>0</v>
      </c>
      <c r="D18" s="13" t="s">
        <v>3</v>
      </c>
      <c r="E18" s="12">
        <f>E17*(1+'Fane 15. Nøgletal'!C16)^2</f>
        <v>0</v>
      </c>
      <c r="F18" s="13" t="s">
        <v>3</v>
      </c>
      <c r="G18" s="1"/>
    </row>
    <row r="19" spans="1:7" x14ac:dyDescent="0.25">
      <c r="A19" s="1"/>
      <c r="B19" s="54"/>
      <c r="C19" s="55"/>
      <c r="D19" s="56"/>
      <c r="E19" s="55"/>
      <c r="F19" s="56"/>
      <c r="G19" s="1"/>
    </row>
    <row r="20" spans="1:7" x14ac:dyDescent="0.25">
      <c r="A20" s="1"/>
      <c r="B20" s="47"/>
      <c r="C20" s="47"/>
      <c r="D20" s="47"/>
      <c r="E20" s="47"/>
      <c r="F20" s="47"/>
      <c r="G20" s="1"/>
    </row>
    <row r="21" spans="1:7" x14ac:dyDescent="0.25">
      <c r="A21" s="1"/>
      <c r="B21" s="180"/>
      <c r="C21" s="180"/>
      <c r="D21" s="180"/>
      <c r="E21" s="180"/>
      <c r="F21" s="180"/>
      <c r="G21" s="1"/>
    </row>
    <row r="22" spans="1:7" x14ac:dyDescent="0.25">
      <c r="A22" s="1"/>
      <c r="B22" s="48"/>
      <c r="C22" s="48"/>
      <c r="D22" s="48"/>
      <c r="E22" s="48"/>
      <c r="F22" s="49"/>
      <c r="G22" s="1"/>
    </row>
    <row r="23" spans="1:7" x14ac:dyDescent="0.25">
      <c r="A23" s="1"/>
      <c r="B23" s="50"/>
      <c r="C23" s="51"/>
      <c r="D23" s="52"/>
      <c r="E23" s="53"/>
      <c r="F23" s="52"/>
      <c r="G23" s="1"/>
    </row>
    <row r="24" spans="1:7" x14ac:dyDescent="0.25">
      <c r="A24" s="1"/>
      <c r="B24" s="50"/>
      <c r="C24" s="51"/>
      <c r="D24" s="52"/>
      <c r="E24" s="53"/>
      <c r="F24" s="52"/>
      <c r="G24" s="1"/>
    </row>
    <row r="25" spans="1:7" x14ac:dyDescent="0.25">
      <c r="A25" s="1"/>
      <c r="B25" s="54"/>
      <c r="C25" s="55"/>
      <c r="D25" s="56"/>
      <c r="E25" s="55"/>
      <c r="F25" s="56"/>
      <c r="G25" s="1"/>
    </row>
    <row r="26" spans="1:7" x14ac:dyDescent="0.25">
      <c r="A26" s="1"/>
      <c r="B26" s="54"/>
      <c r="C26" s="55"/>
      <c r="D26" s="56"/>
      <c r="E26" s="55"/>
      <c r="F26" s="56"/>
      <c r="G26" s="1"/>
    </row>
    <row r="27" spans="1:7" x14ac:dyDescent="0.25">
      <c r="A27" s="1"/>
      <c r="B27" s="47"/>
      <c r="C27" s="47"/>
      <c r="D27" s="47"/>
      <c r="E27" s="47"/>
      <c r="F27" s="47"/>
      <c r="G27" s="1"/>
    </row>
    <row r="28" spans="1:7" x14ac:dyDescent="0.25">
      <c r="A28" s="1"/>
      <c r="B28" s="180"/>
      <c r="C28" s="180"/>
      <c r="D28" s="180"/>
      <c r="E28" s="180"/>
      <c r="F28" s="180"/>
      <c r="G28" s="1"/>
    </row>
    <row r="29" spans="1:7" x14ac:dyDescent="0.25">
      <c r="A29" s="1"/>
      <c r="B29" s="48"/>
      <c r="C29" s="48"/>
      <c r="D29" s="48"/>
      <c r="E29" s="48"/>
      <c r="F29" s="49"/>
      <c r="G29" s="1"/>
    </row>
    <row r="30" spans="1:7" x14ac:dyDescent="0.25">
      <c r="A30" s="1"/>
      <c r="B30" s="50"/>
      <c r="C30" s="51"/>
      <c r="D30" s="52"/>
      <c r="E30" s="53"/>
      <c r="F30" s="52"/>
      <c r="G30" s="1"/>
    </row>
    <row r="31" spans="1:7" x14ac:dyDescent="0.25">
      <c r="A31" s="1"/>
      <c r="B31" s="50"/>
      <c r="C31" s="51"/>
      <c r="D31" s="52"/>
      <c r="E31" s="53"/>
      <c r="F31" s="52"/>
      <c r="G31" s="1"/>
    </row>
    <row r="32" spans="1:7" x14ac:dyDescent="0.25">
      <c r="A32" s="1"/>
      <c r="B32" s="54"/>
      <c r="C32" s="55"/>
      <c r="D32" s="56"/>
      <c r="E32" s="55"/>
      <c r="F32" s="56"/>
      <c r="G32" s="1"/>
    </row>
    <row r="33" spans="1:7" x14ac:dyDescent="0.25">
      <c r="A33" s="1"/>
      <c r="B33" s="54"/>
      <c r="C33" s="55"/>
      <c r="D33" s="56"/>
      <c r="E33" s="55"/>
      <c r="F33" s="56"/>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54"/>
      <c r="C36" s="55"/>
      <c r="D36" s="56"/>
      <c r="E36" s="55"/>
      <c r="F36" s="56"/>
      <c r="G36" s="1"/>
    </row>
    <row r="37" spans="1:7" x14ac:dyDescent="0.25">
      <c r="A37" s="1"/>
      <c r="B37" s="54"/>
      <c r="C37" s="55"/>
      <c r="D37" s="56"/>
      <c r="E37" s="55"/>
      <c r="F37" s="56"/>
      <c r="G37" s="1"/>
    </row>
    <row r="38" spans="1:7" x14ac:dyDescent="0.25">
      <c r="A38" s="1"/>
      <c r="B38" s="47"/>
      <c r="C38" s="47"/>
      <c r="D38" s="47"/>
      <c r="E38" s="47"/>
      <c r="F38" s="47"/>
      <c r="G38" s="1"/>
    </row>
    <row r="39" spans="1:7" x14ac:dyDescent="0.25">
      <c r="A39" s="1"/>
      <c r="B39" s="180"/>
      <c r="C39" s="180"/>
      <c r="D39" s="180"/>
      <c r="E39" s="180"/>
      <c r="F39" s="180"/>
      <c r="G39" s="1"/>
    </row>
    <row r="40" spans="1:7" x14ac:dyDescent="0.25">
      <c r="A40" s="1"/>
      <c r="B40" s="48"/>
      <c r="C40" s="48"/>
      <c r="D40" s="48"/>
      <c r="E40" s="48"/>
      <c r="F40" s="49"/>
      <c r="G40" s="1"/>
    </row>
    <row r="41" spans="1:7" x14ac:dyDescent="0.25">
      <c r="A41" s="1"/>
      <c r="B41" s="50"/>
      <c r="C41" s="51"/>
      <c r="D41" s="52"/>
      <c r="E41" s="53"/>
      <c r="F41" s="52"/>
      <c r="G41" s="1"/>
    </row>
    <row r="42" spans="1:7" x14ac:dyDescent="0.25">
      <c r="A42" s="1"/>
      <c r="B42" s="50"/>
      <c r="C42" s="51"/>
      <c r="D42" s="52"/>
      <c r="E42" s="53"/>
      <c r="F42" s="52"/>
      <c r="G42" s="1"/>
    </row>
    <row r="43" spans="1:7" x14ac:dyDescent="0.25">
      <c r="A43" s="1"/>
      <c r="B43" s="54"/>
      <c r="C43" s="55"/>
      <c r="D43" s="56"/>
      <c r="E43" s="55"/>
      <c r="F43" s="56"/>
      <c r="G43" s="1"/>
    </row>
    <row r="44" spans="1:7" x14ac:dyDescent="0.25">
      <c r="A44" s="1"/>
      <c r="B44" s="54"/>
      <c r="C44" s="55"/>
      <c r="D44" s="56"/>
      <c r="E44" s="55"/>
      <c r="F44" s="56"/>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Xg45/ForXi95txPXCBBbikEopaQjBOdgEgWwF43VAyLQMxMsYgviolX7EW6lcPCXvnZOYAM3Fax0jLVRaERjQ==" saltValue="YzQNhm4cxDGAY7HCAUM19Q==" spinCount="100000" sheet="1" objects="1" scenarios="1"/>
  <mergeCells count="6">
    <mergeCell ref="B39:F39"/>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I46"/>
  <sheetViews>
    <sheetView showGridLines="0" view="pageLayout" topLeftCell="A10" zoomScaleNormal="100" workbookViewId="0">
      <selection activeCell="E18" sqref="E18"/>
    </sheetView>
  </sheetViews>
  <sheetFormatPr defaultColWidth="9.140625" defaultRowHeight="15" x14ac:dyDescent="0.25"/>
  <cols>
    <col min="1" max="1" width="1.42578125" style="2" customWidth="1"/>
    <col min="2" max="2" width="31.140625" style="2" customWidth="1"/>
    <col min="3" max="3" width="16.28515625" style="2" customWidth="1"/>
    <col min="4" max="4" width="3.28515625" style="2" customWidth="1"/>
    <col min="5" max="5" width="11.85546875" style="2" customWidth="1"/>
    <col min="6" max="6" width="3" style="2" customWidth="1"/>
    <col min="7" max="7" width="11.8554687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75" t="s">
        <v>202</v>
      </c>
      <c r="C3" s="175"/>
      <c r="D3" s="175"/>
      <c r="E3" s="175"/>
      <c r="F3" s="175"/>
      <c r="G3" s="175"/>
      <c r="H3" s="175"/>
      <c r="I3" s="1"/>
    </row>
    <row r="4" spans="1:9" ht="15" customHeight="1" x14ac:dyDescent="0.25">
      <c r="A4" s="1"/>
      <c r="B4" s="175"/>
      <c r="C4" s="175"/>
      <c r="D4" s="175"/>
      <c r="E4" s="175"/>
      <c r="F4" s="175"/>
      <c r="G4" s="175"/>
      <c r="H4" s="175"/>
      <c r="I4" s="1"/>
    </row>
    <row r="5" spans="1:9" x14ac:dyDescent="0.25">
      <c r="A5" s="1"/>
      <c r="B5" s="175"/>
      <c r="C5" s="175"/>
      <c r="D5" s="175"/>
      <c r="E5" s="175"/>
      <c r="F5" s="175"/>
      <c r="G5" s="175"/>
      <c r="H5" s="175"/>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
      <c r="C8" s="1"/>
      <c r="D8" s="1"/>
      <c r="E8" s="1"/>
      <c r="F8" s="1"/>
      <c r="G8" s="1"/>
      <c r="H8" s="1"/>
      <c r="I8" s="1"/>
    </row>
    <row r="9" spans="1:9" ht="29.25" customHeight="1" x14ac:dyDescent="0.25">
      <c r="A9" s="1"/>
      <c r="B9" s="32" t="s">
        <v>120</v>
      </c>
      <c r="C9" s="27"/>
      <c r="D9" s="27"/>
      <c r="E9" s="171" t="s">
        <v>223</v>
      </c>
      <c r="F9" s="171"/>
      <c r="G9" s="171" t="s">
        <v>224</v>
      </c>
      <c r="H9" s="172"/>
      <c r="I9" s="1"/>
    </row>
    <row r="10" spans="1:9" x14ac:dyDescent="0.25">
      <c r="A10" s="1"/>
      <c r="B10" s="212" t="s">
        <v>295</v>
      </c>
      <c r="C10" s="213"/>
      <c r="D10" s="214"/>
      <c r="E10" s="9">
        <v>0</v>
      </c>
      <c r="F10" s="14" t="s">
        <v>3</v>
      </c>
      <c r="G10" s="9">
        <v>0</v>
      </c>
      <c r="H10" s="14" t="s">
        <v>3</v>
      </c>
      <c r="I10" s="1"/>
    </row>
    <row r="11" spans="1:9" x14ac:dyDescent="0.25">
      <c r="A11" s="1"/>
      <c r="B11" s="217" t="s">
        <v>10</v>
      </c>
      <c r="C11" s="218"/>
      <c r="D11" s="219"/>
      <c r="E11" s="9">
        <f>-E10*'Fane 5. Individuelt eff. krav'!G9</f>
        <v>0</v>
      </c>
      <c r="F11" s="14" t="s">
        <v>3</v>
      </c>
      <c r="G11" s="9">
        <f>-G10*'Fane 5. Individuelt eff. krav'!G9</f>
        <v>0</v>
      </c>
      <c r="H11" s="14" t="s">
        <v>3</v>
      </c>
      <c r="I11" s="1"/>
    </row>
    <row r="12" spans="1:9" x14ac:dyDescent="0.25">
      <c r="A12" s="1"/>
      <c r="B12" s="217" t="s">
        <v>24</v>
      </c>
      <c r="C12" s="218"/>
      <c r="D12" s="219"/>
      <c r="E12" s="9">
        <f>-E10*'Fane 15. Nøgletal'!C33</f>
        <v>0</v>
      </c>
      <c r="F12" s="14" t="s">
        <v>3</v>
      </c>
      <c r="G12" s="9">
        <f>-G10*'Fane 15. Nøgletal'!C33</f>
        <v>0</v>
      </c>
      <c r="H12" s="14" t="s">
        <v>3</v>
      </c>
      <c r="I12" s="1"/>
    </row>
    <row r="13" spans="1:9" x14ac:dyDescent="0.25">
      <c r="A13" s="1"/>
      <c r="B13" s="189" t="s">
        <v>121</v>
      </c>
      <c r="C13" s="190"/>
      <c r="D13" s="191"/>
      <c r="E13" s="12">
        <f>SUM(E10:E12)*(1+'Fane 15. Nøgletal'!C16)^2</f>
        <v>0</v>
      </c>
      <c r="F13" s="13" t="s">
        <v>3</v>
      </c>
      <c r="G13" s="12">
        <f>SUM(G10:G12)*(1+'Fane 15. Nøgletal'!C16)^2</f>
        <v>0</v>
      </c>
      <c r="H13" s="13" t="s">
        <v>3</v>
      </c>
      <c r="I13" s="1"/>
    </row>
    <row r="14" spans="1:9" x14ac:dyDescent="0.25">
      <c r="A14" s="1"/>
      <c r="B14" s="1"/>
      <c r="C14" s="1"/>
      <c r="D14" s="1"/>
      <c r="E14" s="1"/>
      <c r="F14" s="1"/>
      <c r="G14" s="1"/>
      <c r="H14" s="1"/>
      <c r="I14" s="1"/>
    </row>
    <row r="15" spans="1:9" ht="29.1" customHeight="1" x14ac:dyDescent="0.25">
      <c r="A15" s="1"/>
      <c r="B15" s="32" t="s">
        <v>135</v>
      </c>
      <c r="C15" s="27"/>
      <c r="D15" s="27"/>
      <c r="E15" s="171" t="s">
        <v>223</v>
      </c>
      <c r="F15" s="171"/>
      <c r="G15" s="171" t="s">
        <v>224</v>
      </c>
      <c r="H15" s="172"/>
      <c r="I15" s="1"/>
    </row>
    <row r="16" spans="1:9" x14ac:dyDescent="0.25">
      <c r="A16" s="1"/>
      <c r="B16" s="212" t="s">
        <v>295</v>
      </c>
      <c r="C16" s="213"/>
      <c r="D16" s="214"/>
      <c r="E16" s="9">
        <v>0</v>
      </c>
      <c r="F16" s="14" t="s">
        <v>3</v>
      </c>
      <c r="G16" s="9">
        <v>0</v>
      </c>
      <c r="H16" s="14" t="s">
        <v>3</v>
      </c>
      <c r="I16" s="1"/>
    </row>
    <row r="17" spans="1:9" x14ac:dyDescent="0.25">
      <c r="A17" s="1"/>
      <c r="B17" s="217" t="s">
        <v>10</v>
      </c>
      <c r="C17" s="218"/>
      <c r="D17" s="219"/>
      <c r="E17" s="9">
        <f>-E16*'Fane 5. Individuelt eff. krav'!G9</f>
        <v>0</v>
      </c>
      <c r="F17" s="14" t="s">
        <v>3</v>
      </c>
      <c r="G17" s="9">
        <f>-G16*'Fane 5. Individuelt eff. krav'!G9</f>
        <v>0</v>
      </c>
      <c r="H17" s="14" t="s">
        <v>3</v>
      </c>
      <c r="I17" s="1"/>
    </row>
    <row r="18" spans="1:9" x14ac:dyDescent="0.25">
      <c r="A18" s="1"/>
      <c r="B18" s="217" t="s">
        <v>24</v>
      </c>
      <c r="C18" s="218"/>
      <c r="D18" s="219"/>
      <c r="E18" s="9">
        <f>-E16*'Fane 15. Nøgletal'!C33</f>
        <v>0</v>
      </c>
      <c r="F18" s="14" t="s">
        <v>3</v>
      </c>
      <c r="G18" s="9">
        <f>-G16*'Fane 15. Nøgletal'!C33</f>
        <v>0</v>
      </c>
      <c r="H18" s="14" t="s">
        <v>3</v>
      </c>
      <c r="I18" s="1"/>
    </row>
    <row r="19" spans="1:9" x14ac:dyDescent="0.25">
      <c r="A19" s="1"/>
      <c r="B19" s="189" t="s">
        <v>136</v>
      </c>
      <c r="C19" s="190"/>
      <c r="D19" s="191"/>
      <c r="E19" s="12">
        <f>SUM(E16:E18)*(1+'Fane 15. Nøgletal'!C16)^3</f>
        <v>0</v>
      </c>
      <c r="F19" s="13" t="s">
        <v>3</v>
      </c>
      <c r="G19" s="12">
        <f>SUM(G16:G18)*(1+'Fane 15. Nøgletal'!C16)^3</f>
        <v>0</v>
      </c>
      <c r="H19" s="13" t="s">
        <v>3</v>
      </c>
      <c r="I19" s="1"/>
    </row>
    <row r="20" spans="1:9" x14ac:dyDescent="0.25">
      <c r="A20" s="1"/>
      <c r="B20" s="1"/>
      <c r="C20" s="1"/>
      <c r="D20" s="1"/>
      <c r="E20" s="1"/>
      <c r="F20" s="1"/>
      <c r="G20" s="1"/>
      <c r="H20" s="1"/>
      <c r="I20" s="1"/>
    </row>
    <row r="21" spans="1:9" ht="29.1" customHeight="1" x14ac:dyDescent="0.25">
      <c r="A21" s="1"/>
      <c r="B21" s="32" t="s">
        <v>168</v>
      </c>
      <c r="C21" s="27"/>
      <c r="D21" s="27"/>
      <c r="E21" s="171" t="s">
        <v>223</v>
      </c>
      <c r="F21" s="171"/>
      <c r="G21" s="171" t="s">
        <v>224</v>
      </c>
      <c r="H21" s="172"/>
      <c r="I21" s="1"/>
    </row>
    <row r="22" spans="1:9" x14ac:dyDescent="0.25">
      <c r="A22" s="1"/>
      <c r="B22" s="212" t="s">
        <v>295</v>
      </c>
      <c r="C22" s="213"/>
      <c r="D22" s="214"/>
      <c r="E22" s="9">
        <v>0</v>
      </c>
      <c r="F22" s="14" t="s">
        <v>3</v>
      </c>
      <c r="G22" s="9">
        <v>0</v>
      </c>
      <c r="H22" s="14" t="s">
        <v>3</v>
      </c>
      <c r="I22" s="1"/>
    </row>
    <row r="23" spans="1:9" x14ac:dyDescent="0.25">
      <c r="A23" s="1"/>
      <c r="B23" s="217" t="s">
        <v>10</v>
      </c>
      <c r="C23" s="218"/>
      <c r="D23" s="219"/>
      <c r="E23" s="9">
        <f>-E22*'Fane 5. Individuelt eff. krav'!E9</f>
        <v>0</v>
      </c>
      <c r="F23" s="14" t="s">
        <v>3</v>
      </c>
      <c r="G23" s="9">
        <f>-G22*'Fane 5. Individuelt eff. krav'!G9</f>
        <v>0</v>
      </c>
      <c r="H23" s="14" t="s">
        <v>3</v>
      </c>
      <c r="I23" s="1"/>
    </row>
    <row r="24" spans="1:9" x14ac:dyDescent="0.25">
      <c r="A24" s="1"/>
      <c r="B24" s="217" t="s">
        <v>24</v>
      </c>
      <c r="C24" s="218"/>
      <c r="D24" s="219"/>
      <c r="E24" s="9">
        <f>-E22*'Fane 15. Nøgletal'!A33</f>
        <v>0</v>
      </c>
      <c r="F24" s="14" t="s">
        <v>3</v>
      </c>
      <c r="G24" s="9">
        <f>-G22*'Fane 15. Nøgletal'!C33</f>
        <v>0</v>
      </c>
      <c r="H24" s="14" t="s">
        <v>3</v>
      </c>
      <c r="I24" s="1"/>
    </row>
    <row r="25" spans="1:9" x14ac:dyDescent="0.25">
      <c r="A25" s="1"/>
      <c r="B25" s="189" t="s">
        <v>169</v>
      </c>
      <c r="C25" s="190"/>
      <c r="D25" s="191"/>
      <c r="E25" s="12">
        <f>SUM(E22:E24)*(1+'Fane 15. Nøgletal'!C16)^4</f>
        <v>0</v>
      </c>
      <c r="F25" s="13" t="s">
        <v>3</v>
      </c>
      <c r="G25" s="12">
        <f>SUM(G22:G24)*(1+'Fane 15. Nøgletal'!C16)^4</f>
        <v>0</v>
      </c>
      <c r="H25" s="13" t="s">
        <v>3</v>
      </c>
      <c r="I25" s="1"/>
    </row>
    <row r="26" spans="1:9" x14ac:dyDescent="0.25">
      <c r="A26" s="1"/>
      <c r="B26" s="1"/>
      <c r="C26" s="1"/>
      <c r="D26" s="1"/>
      <c r="E26" s="1"/>
      <c r="F26" s="1"/>
      <c r="G26" s="1"/>
      <c r="H26" s="1"/>
      <c r="I26" s="1"/>
    </row>
    <row r="27" spans="1:9" ht="29.1" customHeight="1" x14ac:dyDescent="0.25">
      <c r="A27" s="1"/>
      <c r="B27" s="32" t="s">
        <v>296</v>
      </c>
      <c r="C27" s="27"/>
      <c r="D27" s="27"/>
      <c r="E27" s="171" t="s">
        <v>223</v>
      </c>
      <c r="F27" s="171"/>
      <c r="G27" s="171" t="s">
        <v>224</v>
      </c>
      <c r="H27" s="172"/>
      <c r="I27" s="1"/>
    </row>
    <row r="28" spans="1:9" ht="14.25" customHeight="1" x14ac:dyDescent="0.25">
      <c r="A28" s="1"/>
      <c r="B28" s="212" t="s">
        <v>295</v>
      </c>
      <c r="C28" s="213"/>
      <c r="D28" s="214"/>
      <c r="E28" s="9">
        <v>0</v>
      </c>
      <c r="F28" s="14" t="s">
        <v>3</v>
      </c>
      <c r="G28" s="9">
        <v>0</v>
      </c>
      <c r="H28" s="14" t="s">
        <v>3</v>
      </c>
      <c r="I28" s="1"/>
    </row>
    <row r="29" spans="1:9" x14ac:dyDescent="0.25">
      <c r="A29" s="1"/>
      <c r="B29" s="217" t="s">
        <v>10</v>
      </c>
      <c r="C29" s="218"/>
      <c r="D29" s="219"/>
      <c r="E29" s="9">
        <f>-E28*'Fane 5. Individuelt eff. krav'!E9</f>
        <v>0</v>
      </c>
      <c r="F29" s="14" t="s">
        <v>3</v>
      </c>
      <c r="G29" s="9">
        <f>-G28*'Fane 5. Individuelt eff. krav'!G9</f>
        <v>0</v>
      </c>
      <c r="H29" s="14" t="s">
        <v>3</v>
      </c>
      <c r="I29" s="1"/>
    </row>
    <row r="30" spans="1:9" x14ac:dyDescent="0.25">
      <c r="A30" s="1"/>
      <c r="B30" s="217" t="s">
        <v>24</v>
      </c>
      <c r="C30" s="218"/>
      <c r="D30" s="219"/>
      <c r="E30" s="9">
        <f>-E28*'Fane 15. Nøgletal'!A33</f>
        <v>0</v>
      </c>
      <c r="F30" s="14" t="s">
        <v>3</v>
      </c>
      <c r="G30" s="9">
        <f>-G28*'Fane 15. Nøgletal'!C33</f>
        <v>0</v>
      </c>
      <c r="H30" s="14" t="s">
        <v>3</v>
      </c>
      <c r="I30" s="1"/>
    </row>
    <row r="31" spans="1:9" x14ac:dyDescent="0.25">
      <c r="A31" s="1"/>
      <c r="B31" s="189" t="s">
        <v>297</v>
      </c>
      <c r="C31" s="190"/>
      <c r="D31" s="191"/>
      <c r="E31" s="12">
        <f>SUM(E28:E30)*(1+'Fane 15. Nøgletal'!C16)^5</f>
        <v>0</v>
      </c>
      <c r="F31" s="13" t="s">
        <v>3</v>
      </c>
      <c r="G31" s="12">
        <f>SUM(G28:G30)*(1+'Fane 15. Nøgletal'!C16)^5</f>
        <v>0</v>
      </c>
      <c r="H31" s="13" t="s">
        <v>3</v>
      </c>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sheetData>
  <sheetProtection algorithmName="SHA-512" hashValue="/TmyNASBOTUercczsaZE6KIdTZHspFM2R3r5Zz/mFN/qzbKOZbOl/2kze7vHxvb5lGCGx+7qeIWknfJyLm5u6Q==" saltValue="Lj/JoZ9Xav4AL3j+IlmXjQ==" spinCount="100000" sheet="1" objects="1" scenarios="1"/>
  <mergeCells count="25">
    <mergeCell ref="G27:H27"/>
    <mergeCell ref="B28:D28"/>
    <mergeCell ref="B29:D29"/>
    <mergeCell ref="B30:D30"/>
    <mergeCell ref="B31:D31"/>
    <mergeCell ref="E27:F27"/>
    <mergeCell ref="E15:F15"/>
    <mergeCell ref="G15:H15"/>
    <mergeCell ref="B25:D25"/>
    <mergeCell ref="B22:D22"/>
    <mergeCell ref="B19:D19"/>
    <mergeCell ref="B16:D16"/>
    <mergeCell ref="B17:D17"/>
    <mergeCell ref="B18:D18"/>
    <mergeCell ref="B23:D23"/>
    <mergeCell ref="B24:D24"/>
    <mergeCell ref="E21:F21"/>
    <mergeCell ref="G21:H21"/>
    <mergeCell ref="B3:H5"/>
    <mergeCell ref="B13:D13"/>
    <mergeCell ref="B10:D10"/>
    <mergeCell ref="B11:D11"/>
    <mergeCell ref="B12:D12"/>
    <mergeCell ref="E9:F9"/>
    <mergeCell ref="G9:H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4"/>
  <sheetViews>
    <sheetView showGridLines="0" view="pageLayout" zoomScaleNormal="100" workbookViewId="0">
      <selection activeCell="B19" sqref="B19"/>
    </sheetView>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75" t="s">
        <v>203</v>
      </c>
      <c r="C3" s="175"/>
      <c r="D3" s="175"/>
      <c r="E3" s="175"/>
      <c r="F3" s="175"/>
      <c r="G3" s="1"/>
    </row>
    <row r="4" spans="1:7" ht="25.5" customHeight="1" x14ac:dyDescent="0.25">
      <c r="A4" s="1"/>
      <c r="B4" s="175"/>
      <c r="C4" s="175"/>
      <c r="D4" s="175"/>
      <c r="E4" s="175"/>
      <c r="F4" s="17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89" t="s">
        <v>226</v>
      </c>
      <c r="C8" s="190"/>
      <c r="D8" s="190"/>
      <c r="E8" s="190"/>
      <c r="F8" s="191"/>
      <c r="G8" s="1"/>
    </row>
    <row r="9" spans="1:7" ht="15" customHeight="1" x14ac:dyDescent="0.25">
      <c r="A9" s="1"/>
      <c r="B9" s="30" t="s">
        <v>122</v>
      </c>
      <c r="C9" s="30" t="s">
        <v>11</v>
      </c>
      <c r="D9" s="31"/>
      <c r="E9" s="30" t="s">
        <v>31</v>
      </c>
      <c r="F9" s="31"/>
      <c r="G9" s="1"/>
    </row>
    <row r="10" spans="1:7" ht="26.25" x14ac:dyDescent="0.25">
      <c r="A10" s="1"/>
      <c r="B10" s="89" t="s">
        <v>212</v>
      </c>
      <c r="C10" s="9">
        <v>0</v>
      </c>
      <c r="D10" s="14" t="s">
        <v>3</v>
      </c>
      <c r="E10" s="9">
        <v>0</v>
      </c>
      <c r="F10" s="14" t="s">
        <v>3</v>
      </c>
      <c r="G10" s="1"/>
    </row>
    <row r="11" spans="1:7" ht="28.5" customHeight="1" x14ac:dyDescent="0.25">
      <c r="A11" s="1"/>
      <c r="B11" s="20" t="s">
        <v>171</v>
      </c>
      <c r="C11" s="12">
        <f>SUM(C10:C10)</f>
        <v>0</v>
      </c>
      <c r="D11" s="13" t="s">
        <v>3</v>
      </c>
      <c r="E11" s="12">
        <f>SUM(E10:E10)</f>
        <v>0</v>
      </c>
      <c r="F11" s="13" t="s">
        <v>3</v>
      </c>
      <c r="G11" s="1"/>
    </row>
    <row r="12" spans="1:7" ht="27" customHeight="1" x14ac:dyDescent="0.25">
      <c r="A12" s="1"/>
      <c r="B12" s="20" t="s">
        <v>298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89" t="s">
        <v>227</v>
      </c>
      <c r="C14" s="190"/>
      <c r="D14" s="190"/>
      <c r="E14" s="190"/>
      <c r="F14" s="191"/>
      <c r="G14" s="1"/>
    </row>
    <row r="15" spans="1:7" ht="26.25" x14ac:dyDescent="0.25">
      <c r="A15" s="1"/>
      <c r="B15" s="30" t="s">
        <v>122</v>
      </c>
      <c r="C15" s="30" t="s">
        <v>11</v>
      </c>
      <c r="D15" s="31"/>
      <c r="E15" s="30" t="s">
        <v>31</v>
      </c>
      <c r="F15" s="31"/>
      <c r="G15" s="1"/>
    </row>
    <row r="16" spans="1:7" ht="26.25" x14ac:dyDescent="0.25">
      <c r="A16" s="1"/>
      <c r="B16" s="89" t="s">
        <v>212</v>
      </c>
      <c r="C16" s="9">
        <v>0</v>
      </c>
      <c r="D16" s="14" t="s">
        <v>3</v>
      </c>
      <c r="E16" s="9">
        <v>0</v>
      </c>
      <c r="F16" s="14" t="s">
        <v>3</v>
      </c>
      <c r="G16" s="1"/>
    </row>
    <row r="17" spans="1:7" ht="26.25" x14ac:dyDescent="0.25">
      <c r="A17" s="1"/>
      <c r="B17" s="20" t="s">
        <v>171</v>
      </c>
      <c r="C17" s="12">
        <f>SUM(C16:C16)</f>
        <v>0</v>
      </c>
      <c r="D17" s="13" t="s">
        <v>3</v>
      </c>
      <c r="E17" s="12">
        <f>SUM(E16:E16)</f>
        <v>0</v>
      </c>
      <c r="F17" s="13" t="s">
        <v>3</v>
      </c>
      <c r="G17" s="1"/>
    </row>
    <row r="18" spans="1:7" ht="26.25" x14ac:dyDescent="0.25">
      <c r="A18" s="1"/>
      <c r="B18" s="20" t="s">
        <v>298</v>
      </c>
      <c r="C18" s="12">
        <f>C17*(1+'Fane 15. Nøgletal'!C22)</f>
        <v>0</v>
      </c>
      <c r="D18" s="13" t="s">
        <v>3</v>
      </c>
      <c r="E18" s="12">
        <f>E17*(1+'Fane 15. Nøgletal'!C22)</f>
        <v>0</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wzgvYznB3vGvp8B+QSxrumSUgsCmDiZsDJJz2eKghgMmec36bo34Q9B9+2SxZAuvmXD6vVOt99ctVqUmsSEslQ==" saltValue="RfhJgmSgiTLRYZQhp9qA1A==" spinCount="100000" sheet="1" objects="1" scenarios="1"/>
  <mergeCells count="3">
    <mergeCell ref="B3:F4"/>
    <mergeCell ref="B8:F8"/>
    <mergeCell ref="B14:F1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election activeCell="B20" sqref="B20"/>
    </sheetView>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8" width="5" style="2" customWidth="1"/>
    <col min="9" max="9" width="36.42578125" style="2" customWidth="1"/>
    <col min="10" max="10" width="15.5703125" style="2" customWidth="1"/>
    <col min="11" max="11" width="3.140625" style="2" customWidth="1"/>
    <col min="12" max="12" width="18.42578125" style="2" customWidth="1"/>
    <col min="13" max="13" width="3.140625" style="2" customWidth="1"/>
    <col min="14" max="14" width="5" style="2" customWidth="1"/>
    <col min="15"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75" t="s">
        <v>204</v>
      </c>
      <c r="C3" s="175"/>
      <c r="D3" s="175"/>
      <c r="E3" s="175"/>
      <c r="F3" s="175"/>
      <c r="G3" s="1"/>
    </row>
    <row r="4" spans="1:7" ht="25.5" customHeight="1" x14ac:dyDescent="0.25">
      <c r="A4" s="1"/>
      <c r="B4" s="175"/>
      <c r="C4" s="175"/>
      <c r="D4" s="175"/>
      <c r="E4" s="175"/>
      <c r="F4" s="17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89" t="s">
        <v>299</v>
      </c>
      <c r="C9" s="190"/>
      <c r="D9" s="190"/>
      <c r="E9" s="190"/>
      <c r="F9" s="191"/>
      <c r="G9" s="1"/>
    </row>
    <row r="10" spans="1:7" ht="26.25" x14ac:dyDescent="0.25">
      <c r="A10" s="1"/>
      <c r="B10" s="30" t="s">
        <v>18</v>
      </c>
      <c r="C10" s="30" t="s">
        <v>11</v>
      </c>
      <c r="D10" s="31"/>
      <c r="E10" s="30" t="s">
        <v>31</v>
      </c>
      <c r="F10" s="31"/>
      <c r="G10" s="1"/>
    </row>
    <row r="11" spans="1:7" x14ac:dyDescent="0.25">
      <c r="A11" s="1"/>
      <c r="B11" s="23" t="s">
        <v>153</v>
      </c>
      <c r="C11" s="9">
        <v>0</v>
      </c>
      <c r="D11" s="14" t="s">
        <v>3</v>
      </c>
      <c r="E11" s="9">
        <v>0</v>
      </c>
      <c r="F11" s="14" t="s">
        <v>3</v>
      </c>
      <c r="G11" s="1"/>
    </row>
    <row r="12" spans="1:7" x14ac:dyDescent="0.25">
      <c r="A12" s="1"/>
      <c r="B12" s="32" t="s">
        <v>85</v>
      </c>
      <c r="C12" s="12">
        <f>SUM(C11:C11)</f>
        <v>0</v>
      </c>
      <c r="D12" s="13" t="s">
        <v>3</v>
      </c>
      <c r="E12" s="12">
        <f>SUM(E11:E11)</f>
        <v>0</v>
      </c>
      <c r="F12" s="13" t="s">
        <v>3</v>
      </c>
      <c r="G12" s="1"/>
    </row>
    <row r="13" spans="1:7" x14ac:dyDescent="0.25">
      <c r="A13" s="1"/>
      <c r="B13" s="32" t="s">
        <v>300</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89" t="s">
        <v>301</v>
      </c>
      <c r="C15" s="190"/>
      <c r="D15" s="190"/>
      <c r="E15" s="190"/>
      <c r="F15" s="191"/>
      <c r="G15" s="1"/>
    </row>
    <row r="16" spans="1:7" ht="26.25" x14ac:dyDescent="0.25">
      <c r="A16" s="1"/>
      <c r="B16" s="30" t="s">
        <v>18</v>
      </c>
      <c r="C16" s="30" t="s">
        <v>11</v>
      </c>
      <c r="D16" s="31"/>
      <c r="E16" s="30" t="s">
        <v>31</v>
      </c>
      <c r="F16" s="31"/>
      <c r="G16" s="1"/>
    </row>
    <row r="17" spans="1:7" x14ac:dyDescent="0.25">
      <c r="A17" s="1"/>
      <c r="B17" s="23" t="s">
        <v>153</v>
      </c>
      <c r="C17" s="9">
        <v>0</v>
      </c>
      <c r="D17" s="14" t="s">
        <v>3</v>
      </c>
      <c r="E17" s="9">
        <v>0</v>
      </c>
      <c r="F17" s="14" t="s">
        <v>3</v>
      </c>
      <c r="G17" s="1"/>
    </row>
    <row r="18" spans="1:7" x14ac:dyDescent="0.25">
      <c r="A18" s="1"/>
      <c r="B18" s="32" t="s">
        <v>85</v>
      </c>
      <c r="C18" s="12">
        <f>SUM(C17:C17)</f>
        <v>0</v>
      </c>
      <c r="D18" s="13" t="s">
        <v>3</v>
      </c>
      <c r="E18" s="12">
        <f>SUM(E17:E17)</f>
        <v>0</v>
      </c>
      <c r="F18" s="13" t="s">
        <v>3</v>
      </c>
      <c r="G18" s="1"/>
    </row>
    <row r="19" spans="1:7" x14ac:dyDescent="0.25">
      <c r="A19" s="1"/>
      <c r="B19" s="32" t="s">
        <v>300</v>
      </c>
      <c r="C19" s="12">
        <f>C18*(1+'Fane 15. Nøgletal'!C22)</f>
        <v>0</v>
      </c>
      <c r="D19" s="13" t="s">
        <v>3</v>
      </c>
      <c r="E19" s="12">
        <f>E18*(1+'Fane 15. Nøgletal'!C22)</f>
        <v>0</v>
      </c>
      <c r="F19" s="13" t="s">
        <v>3</v>
      </c>
      <c r="G19" s="1"/>
    </row>
    <row r="20" spans="1:7" x14ac:dyDescent="0.25">
      <c r="A20" s="1"/>
      <c r="B20" s="47"/>
      <c r="C20" s="47"/>
      <c r="D20" s="47"/>
      <c r="E20" s="47"/>
      <c r="F20" s="47"/>
      <c r="G20" s="1"/>
    </row>
    <row r="21" spans="1:7" x14ac:dyDescent="0.25">
      <c r="A21" s="1"/>
      <c r="B21" s="180"/>
      <c r="C21" s="180"/>
      <c r="D21" s="180"/>
      <c r="E21" s="180"/>
      <c r="F21" s="180"/>
      <c r="G21" s="1"/>
    </row>
    <row r="22" spans="1:7" x14ac:dyDescent="0.25">
      <c r="A22" s="1"/>
      <c r="B22" s="49"/>
      <c r="C22" s="49"/>
      <c r="D22" s="49"/>
      <c r="E22" s="49"/>
      <c r="F22" s="49"/>
      <c r="G22" s="1"/>
    </row>
    <row r="23" spans="1:7" x14ac:dyDescent="0.25">
      <c r="A23" s="1"/>
      <c r="B23" s="50"/>
      <c r="C23" s="53"/>
      <c r="D23" s="52"/>
      <c r="E23" s="53"/>
      <c r="F23" s="52"/>
      <c r="G23" s="1"/>
    </row>
    <row r="24" spans="1:7" x14ac:dyDescent="0.25">
      <c r="A24" s="1"/>
      <c r="B24" s="54"/>
      <c r="C24" s="55"/>
      <c r="D24" s="56"/>
      <c r="E24" s="55"/>
      <c r="F24" s="56"/>
      <c r="G24" s="1"/>
    </row>
    <row r="25" spans="1:7" x14ac:dyDescent="0.25">
      <c r="A25" s="1"/>
      <c r="B25" s="54"/>
      <c r="C25" s="55"/>
      <c r="D25" s="56"/>
      <c r="E25" s="55"/>
      <c r="F25" s="56"/>
      <c r="G25" s="1"/>
    </row>
    <row r="26" spans="1:7" x14ac:dyDescent="0.25">
      <c r="A26" s="1"/>
      <c r="B26" s="47"/>
      <c r="C26" s="47"/>
      <c r="D26" s="47"/>
      <c r="E26" s="47"/>
      <c r="F26" s="47"/>
      <c r="G26" s="1"/>
    </row>
    <row r="27" spans="1:7" x14ac:dyDescent="0.25">
      <c r="A27" s="1"/>
      <c r="B27" s="180"/>
      <c r="C27" s="180"/>
      <c r="D27" s="180"/>
      <c r="E27" s="180"/>
      <c r="F27" s="180"/>
      <c r="G27" s="1"/>
    </row>
    <row r="28" spans="1:7" x14ac:dyDescent="0.25">
      <c r="A28" s="1"/>
      <c r="B28" s="49"/>
      <c r="C28" s="49"/>
      <c r="D28" s="49"/>
      <c r="E28" s="49"/>
      <c r="F28" s="49"/>
      <c r="G28" s="1"/>
    </row>
    <row r="29" spans="1:7" x14ac:dyDescent="0.25">
      <c r="A29" s="1"/>
      <c r="B29" s="50"/>
      <c r="C29" s="53"/>
      <c r="D29" s="52"/>
      <c r="E29" s="53"/>
      <c r="F29" s="52"/>
      <c r="G29" s="1"/>
    </row>
    <row r="30" spans="1:7" x14ac:dyDescent="0.25">
      <c r="A30" s="1"/>
      <c r="B30" s="54"/>
      <c r="C30" s="55"/>
      <c r="D30" s="56"/>
      <c r="E30" s="55"/>
      <c r="F30" s="56"/>
      <c r="G30" s="1"/>
    </row>
    <row r="31" spans="1:7" x14ac:dyDescent="0.25">
      <c r="A31" s="1"/>
      <c r="B31" s="54"/>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Kri1OkzrGWGmHzwvlwZwvBbjfF+Ttz5chBV07zEgYrcA276wZ1b5hF0UjurXdE5s2K88qD2m/GmAVHokdDqSUA==" saltValue="D52N1lu0yEjldf0sjIlRl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I47"/>
  <sheetViews>
    <sheetView showGridLines="0" view="pageLayout" topLeftCell="A7" zoomScaleNormal="100" workbookViewId="0">
      <selection activeCell="G22" sqref="G22"/>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90"/>
      <c r="B1" s="90"/>
      <c r="C1" s="90"/>
      <c r="D1" s="90"/>
      <c r="E1" s="90"/>
      <c r="F1" s="90"/>
      <c r="G1" s="90"/>
      <c r="H1" s="90"/>
      <c r="I1" s="90"/>
    </row>
    <row r="2" spans="1:9" x14ac:dyDescent="0.25">
      <c r="A2" s="1"/>
      <c r="B2" s="1"/>
      <c r="C2" s="1"/>
      <c r="D2" s="1"/>
      <c r="E2" s="1"/>
      <c r="F2" s="1"/>
      <c r="G2" s="1"/>
      <c r="H2" s="1"/>
      <c r="I2" s="1"/>
    </row>
    <row r="3" spans="1:9" ht="15" customHeight="1" x14ac:dyDescent="0.25">
      <c r="A3" s="1"/>
      <c r="B3" s="173" t="s">
        <v>302</v>
      </c>
      <c r="C3" s="173"/>
      <c r="D3" s="173"/>
      <c r="E3" s="173"/>
      <c r="F3" s="173"/>
      <c r="G3" s="173"/>
      <c r="H3" s="173"/>
      <c r="I3" s="1"/>
    </row>
    <row r="4" spans="1:9" ht="15" customHeight="1" x14ac:dyDescent="0.25">
      <c r="A4" s="1"/>
      <c r="B4" s="173"/>
      <c r="C4" s="173"/>
      <c r="D4" s="173"/>
      <c r="E4" s="173"/>
      <c r="F4" s="173"/>
      <c r="G4" s="173"/>
      <c r="H4" s="17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s="117" customFormat="1" ht="26.25" customHeight="1" x14ac:dyDescent="0.25">
      <c r="A8" s="90"/>
      <c r="B8" s="20" t="s">
        <v>13</v>
      </c>
      <c r="C8" s="171" t="s">
        <v>223</v>
      </c>
      <c r="D8" s="171"/>
      <c r="E8" s="171" t="s">
        <v>224</v>
      </c>
      <c r="F8" s="171"/>
      <c r="G8" s="171" t="s">
        <v>242</v>
      </c>
      <c r="H8" s="172"/>
      <c r="I8" s="90"/>
    </row>
    <row r="9" spans="1:9" s="117" customFormat="1" ht="28.5" customHeight="1" x14ac:dyDescent="0.25">
      <c r="A9" s="90"/>
      <c r="B9" s="91" t="s">
        <v>117</v>
      </c>
      <c r="C9" s="92">
        <f>'Fane 3. Omkostninger i ØR2023'!C20</f>
        <v>74865192.206666976</v>
      </c>
      <c r="D9" s="93" t="s">
        <v>3</v>
      </c>
      <c r="E9" s="92">
        <f>'Fane 3. Omkostninger i ØR2023'!E20</f>
        <v>76451056.21884647</v>
      </c>
      <c r="F9" s="93" t="s">
        <v>3</v>
      </c>
      <c r="G9" s="92">
        <f>C9+E9</f>
        <v>151316248.42551345</v>
      </c>
      <c r="H9" s="93" t="s">
        <v>3</v>
      </c>
      <c r="I9" s="90"/>
    </row>
    <row r="10" spans="1:9" ht="17.25" customHeight="1" x14ac:dyDescent="0.25">
      <c r="A10" s="1"/>
      <c r="B10" s="104" t="s">
        <v>39</v>
      </c>
      <c r="C10" s="7">
        <f>'Fane 11.1. Varige tillæg'!C13</f>
        <v>4080992.7199999997</v>
      </c>
      <c r="D10" s="8" t="s">
        <v>3</v>
      </c>
      <c r="E10" s="7">
        <f>'Fane 11.1. Varige tillæg'!C20</f>
        <v>533359.66879999998</v>
      </c>
      <c r="F10" s="8" t="s">
        <v>3</v>
      </c>
      <c r="G10" s="92">
        <f t="shared" ref="G10:G19" si="0">C10+E10</f>
        <v>4614352.3887999998</v>
      </c>
      <c r="H10" s="8" t="s">
        <v>3</v>
      </c>
      <c r="I10" s="1"/>
    </row>
    <row r="11" spans="1:9" ht="17.25" customHeight="1" x14ac:dyDescent="0.25">
      <c r="A11" s="1"/>
      <c r="B11" s="104" t="s">
        <v>40</v>
      </c>
      <c r="C11" s="9">
        <f>'Fane 11.1. Varige tillæg'!E13</f>
        <v>0</v>
      </c>
      <c r="D11" s="8" t="s">
        <v>3</v>
      </c>
      <c r="E11" s="9">
        <f>'Fane 11.1. Varige tillæg'!E20</f>
        <v>239978.6704</v>
      </c>
      <c r="F11" s="8" t="s">
        <v>3</v>
      </c>
      <c r="G11" s="92">
        <f t="shared" si="0"/>
        <v>239978.6704</v>
      </c>
      <c r="H11" s="8" t="s">
        <v>3</v>
      </c>
      <c r="I11" s="1"/>
    </row>
    <row r="12" spans="1:9" ht="17.25" customHeight="1" x14ac:dyDescent="0.25">
      <c r="A12" s="1"/>
      <c r="B12" s="104" t="s">
        <v>27</v>
      </c>
      <c r="C12" s="9">
        <f>-'Fane 14. Bortfald'!C13</f>
        <v>0</v>
      </c>
      <c r="D12" s="8" t="s">
        <v>3</v>
      </c>
      <c r="E12" s="9">
        <f>-'Fane 14. Bortfald'!E13</f>
        <v>0</v>
      </c>
      <c r="F12" s="8" t="s">
        <v>3</v>
      </c>
      <c r="G12" s="92">
        <f t="shared" si="0"/>
        <v>0</v>
      </c>
      <c r="H12" s="8" t="s">
        <v>3</v>
      </c>
      <c r="I12" s="1"/>
    </row>
    <row r="13" spans="1:9" ht="17.25" customHeight="1" x14ac:dyDescent="0.25">
      <c r="A13" s="1"/>
      <c r="B13" s="129" t="s">
        <v>26</v>
      </c>
      <c r="C13" s="9">
        <f>-'Fane 14. Bortfald'!E13</f>
        <v>0</v>
      </c>
      <c r="D13" s="8" t="s">
        <v>3</v>
      </c>
      <c r="E13" s="9">
        <f>-'Fane 14. Bortfald'!G13</f>
        <v>0</v>
      </c>
      <c r="F13" s="8" t="s">
        <v>3</v>
      </c>
      <c r="G13" s="92">
        <f t="shared" si="0"/>
        <v>0</v>
      </c>
      <c r="H13" s="8" t="s">
        <v>3</v>
      </c>
      <c r="I13" s="1"/>
    </row>
    <row r="14" spans="1:9" ht="17.25" customHeight="1" x14ac:dyDescent="0.25">
      <c r="A14" s="1"/>
      <c r="B14" s="104" t="s">
        <v>114</v>
      </c>
      <c r="C14" s="9">
        <f>'Fane 13. Tilknyttet virksomhed'!C12</f>
        <v>0</v>
      </c>
      <c r="D14" s="8" t="s">
        <v>3</v>
      </c>
      <c r="E14" s="9">
        <f>'Fane 13. Tilknyttet virksomhed'!E12</f>
        <v>0</v>
      </c>
      <c r="F14" s="8" t="s">
        <v>3</v>
      </c>
      <c r="G14" s="92">
        <f t="shared" si="0"/>
        <v>0</v>
      </c>
      <c r="H14" s="8" t="s">
        <v>3</v>
      </c>
      <c r="I14" s="1"/>
    </row>
    <row r="15" spans="1:9" ht="17.25" customHeight="1" x14ac:dyDescent="0.25">
      <c r="A15" s="1"/>
      <c r="B15" s="104" t="s">
        <v>115</v>
      </c>
      <c r="C15" s="9">
        <f>'Fane 13. Tilknyttet virksomhed'!E12</f>
        <v>0</v>
      </c>
      <c r="D15" s="8" t="s">
        <v>3</v>
      </c>
      <c r="E15" s="9">
        <f>'Fane 13. Tilknyttet virksomhed'!G12</f>
        <v>0</v>
      </c>
      <c r="F15" s="8" t="s">
        <v>3</v>
      </c>
      <c r="G15" s="92">
        <f t="shared" si="0"/>
        <v>0</v>
      </c>
      <c r="H15" s="8" t="s">
        <v>3</v>
      </c>
      <c r="I15" s="1"/>
    </row>
    <row r="16" spans="1:9" ht="17.25" customHeight="1" x14ac:dyDescent="0.25">
      <c r="A16" s="1"/>
      <c r="B16" s="104" t="s">
        <v>19</v>
      </c>
      <c r="C16" s="43">
        <f>SUM(C9)*'Fane 15. Nøgletal'!$C$16+SUM(C10:C15)*'Fane 15. Nøgletal'!$C$16</f>
        <v>6378851.7420746908</v>
      </c>
      <c r="D16" s="8" t="s">
        <v>3</v>
      </c>
      <c r="E16" s="43">
        <f>SUM(E9)*'Fane 15. Nøgletal'!$C$16+SUM(E10:E15)*'Fane 15. Nøgletal'!$C$16</f>
        <v>6239731.0802901546</v>
      </c>
      <c r="F16" s="8" t="s">
        <v>3</v>
      </c>
      <c r="G16" s="92">
        <f t="shared" si="0"/>
        <v>12618582.822364844</v>
      </c>
      <c r="H16" s="8" t="s">
        <v>3</v>
      </c>
      <c r="I16" s="1"/>
    </row>
    <row r="17" spans="1:9" ht="17.25" customHeight="1" x14ac:dyDescent="0.25">
      <c r="A17" s="1"/>
      <c r="B17" s="104" t="s">
        <v>10</v>
      </c>
      <c r="C17" s="43">
        <f>-SUM(C9,C10:C16)*'Fane 5. Individuelt eff. krav'!G9</f>
        <v>0</v>
      </c>
      <c r="D17" s="8" t="s">
        <v>3</v>
      </c>
      <c r="E17" s="43">
        <f>-SUM(E9,E10:E16)*'Fane 5. Individuelt eff. krav'!G14</f>
        <v>-643277.95825492335</v>
      </c>
      <c r="F17" s="8" t="s">
        <v>3</v>
      </c>
      <c r="G17" s="92">
        <f t="shared" si="0"/>
        <v>-643277.95825492335</v>
      </c>
      <c r="H17" s="8" t="s">
        <v>3</v>
      </c>
      <c r="I17" s="1"/>
    </row>
    <row r="18" spans="1:9" ht="17.25" customHeight="1" x14ac:dyDescent="0.25">
      <c r="A18" s="1"/>
      <c r="B18" s="104" t="s">
        <v>24</v>
      </c>
      <c r="C18" s="43">
        <f>-'Fane 4.1. Gen. krav - drift'!C56</f>
        <v>-616086.74096126109</v>
      </c>
      <c r="D18" s="8" t="s">
        <v>3</v>
      </c>
      <c r="E18" s="43">
        <f>-'Fane 4.1. Gen. krav - drift'!E56</f>
        <v>-599881.08180350962</v>
      </c>
      <c r="F18" s="8" t="s">
        <v>3</v>
      </c>
      <c r="G18" s="92">
        <f t="shared" si="0"/>
        <v>-1215967.8227647706</v>
      </c>
      <c r="H18" s="8" t="s">
        <v>3</v>
      </c>
      <c r="I18" s="1"/>
    </row>
    <row r="19" spans="1:9" ht="17.25" customHeight="1" x14ac:dyDescent="0.25">
      <c r="A19" s="1"/>
      <c r="B19" s="104" t="s">
        <v>25</v>
      </c>
      <c r="C19" s="43">
        <f>'Fane 4.2. Gen. krav - anlæg'!C50</f>
        <v>0</v>
      </c>
      <c r="D19" s="8" t="s">
        <v>3</v>
      </c>
      <c r="E19" s="43">
        <f>-'Fane 4.2. Gen. krav - anlæg'!E50</f>
        <v>0</v>
      </c>
      <c r="F19" s="8" t="s">
        <v>3</v>
      </c>
      <c r="G19" s="92">
        <f t="shared" si="0"/>
        <v>0</v>
      </c>
      <c r="H19" s="8" t="s">
        <v>3</v>
      </c>
      <c r="I19" s="44"/>
    </row>
    <row r="20" spans="1:9" ht="17.25" customHeight="1" x14ac:dyDescent="0.25">
      <c r="A20" s="1"/>
      <c r="B20" s="119" t="s">
        <v>21</v>
      </c>
      <c r="C20" s="120">
        <f>SUM(C9:C19)</f>
        <v>84708949.92778042</v>
      </c>
      <c r="D20" s="121" t="s">
        <v>3</v>
      </c>
      <c r="E20" s="120">
        <f>SUM(E9:E19)</f>
        <v>82220966.59827818</v>
      </c>
      <c r="F20" s="121" t="s">
        <v>3</v>
      </c>
      <c r="G20" s="120">
        <f t="shared" ref="G20" si="1">SUM(G9:G19)</f>
        <v>166929916.52605855</v>
      </c>
      <c r="H20" s="121" t="s">
        <v>3</v>
      </c>
      <c r="I20" s="1"/>
    </row>
    <row r="21" spans="1:9" ht="15" customHeight="1" x14ac:dyDescent="0.25">
      <c r="A21" s="1"/>
      <c r="B21" s="32" t="s">
        <v>12</v>
      </c>
      <c r="C21" s="27"/>
      <c r="D21" s="27"/>
      <c r="E21" s="27"/>
      <c r="F21" s="27"/>
      <c r="G21" s="27"/>
      <c r="H21" s="19"/>
      <c r="I21" s="1"/>
    </row>
    <row r="22" spans="1:9" ht="15" customHeight="1" x14ac:dyDescent="0.25">
      <c r="A22" s="1"/>
      <c r="B22" s="145" t="s">
        <v>241</v>
      </c>
      <c r="C22" s="146">
        <f>'Fane 6. Ikke-påvirkelige omk.'!C17+'Fane 6. Ikke-påvirkelige omk.'!C21+'Fane 6. Ikke-påvirkelige omk.'!C29</f>
        <v>4979528.6706851833</v>
      </c>
      <c r="D22" s="147" t="s">
        <v>3</v>
      </c>
      <c r="E22" s="146">
        <f>'Fane 6. Ikke-påvirkelige omk.'!E17+'Fane 6. Ikke-påvirkelige omk.'!E21+'Fane 6. Ikke-påvirkelige omk.'!E29</f>
        <v>6485164.2513889279</v>
      </c>
      <c r="F22" s="147" t="s">
        <v>3</v>
      </c>
      <c r="G22" s="146">
        <f>C22+E22</f>
        <v>11464692.922074111</v>
      </c>
      <c r="H22" s="147" t="s">
        <v>3</v>
      </c>
      <c r="I22" s="1"/>
    </row>
    <row r="23" spans="1:9" ht="15" customHeight="1" x14ac:dyDescent="0.25">
      <c r="A23" s="1"/>
      <c r="B23" s="148" t="s">
        <v>313</v>
      </c>
      <c r="C23" s="43">
        <v>0</v>
      </c>
      <c r="D23" s="149" t="s">
        <v>187</v>
      </c>
      <c r="E23" s="43">
        <v>0</v>
      </c>
      <c r="F23" s="149" t="s">
        <v>187</v>
      </c>
      <c r="G23" s="43">
        <f>'Fane 6. Ikke-påvirkelige omk.'!G15*(1+'Fane 15. Nøgletal'!C16)^2</f>
        <v>4455051.0598630402</v>
      </c>
      <c r="H23" s="147" t="s">
        <v>3</v>
      </c>
      <c r="I23" s="1"/>
    </row>
    <row r="24" spans="1:9" ht="15" customHeight="1" x14ac:dyDescent="0.25">
      <c r="A24" s="1"/>
      <c r="B24" s="144" t="s">
        <v>240</v>
      </c>
      <c r="C24" s="10">
        <f>C22+C23</f>
        <v>4979528.6706851833</v>
      </c>
      <c r="D24" s="11" t="s">
        <v>3</v>
      </c>
      <c r="E24" s="10">
        <f>SUM(E22:E23)</f>
        <v>6485164.2513889279</v>
      </c>
      <c r="F24" s="11" t="s">
        <v>3</v>
      </c>
      <c r="G24" s="10">
        <f>G22-G23</f>
        <v>7009641.862211071</v>
      </c>
      <c r="H24" s="11" t="s">
        <v>3</v>
      </c>
      <c r="I24" s="1"/>
    </row>
    <row r="25" spans="1:9" ht="15" customHeight="1" x14ac:dyDescent="0.25">
      <c r="A25" s="1"/>
      <c r="B25" s="32" t="s">
        <v>82</v>
      </c>
      <c r="C25" s="27"/>
      <c r="D25" s="27"/>
      <c r="E25" s="27"/>
      <c r="F25" s="27"/>
      <c r="G25" s="27"/>
      <c r="H25" s="19"/>
      <c r="I25" s="1"/>
    </row>
    <row r="26" spans="1:9" ht="15" customHeight="1" x14ac:dyDescent="0.25">
      <c r="A26" s="1"/>
      <c r="B26" s="106" t="s">
        <v>82</v>
      </c>
      <c r="C26" s="10">
        <f>'Fane 12. Periodevise driftsomk.'!G13</f>
        <v>0</v>
      </c>
      <c r="D26" s="11" t="s">
        <v>3</v>
      </c>
      <c r="E26" s="10">
        <f>'Fane 12. Periodevise driftsomk.'!I13</f>
        <v>0</v>
      </c>
      <c r="F26" s="11" t="s">
        <v>3</v>
      </c>
      <c r="G26" s="10">
        <f>C26+E26</f>
        <v>0</v>
      </c>
      <c r="H26" s="11" t="s">
        <v>3</v>
      </c>
      <c r="I26" s="1"/>
    </row>
    <row r="27" spans="1:9" ht="15" customHeight="1" x14ac:dyDescent="0.25">
      <c r="A27" s="1"/>
      <c r="B27" s="32" t="s">
        <v>81</v>
      </c>
      <c r="C27" s="27"/>
      <c r="D27" s="27"/>
      <c r="E27" s="27"/>
      <c r="F27" s="27"/>
      <c r="G27" s="27"/>
      <c r="H27" s="19"/>
      <c r="I27" s="1"/>
    </row>
    <row r="28" spans="1:9" ht="15" customHeight="1" x14ac:dyDescent="0.25">
      <c r="A28" s="1"/>
      <c r="B28" s="104" t="s">
        <v>181</v>
      </c>
      <c r="C28" s="62">
        <f>'Fane 11.2. Engangstillæg'!C12</f>
        <v>0</v>
      </c>
      <c r="D28" s="8" t="s">
        <v>3</v>
      </c>
      <c r="E28" s="62">
        <f>'Fane 11.2. Engangstillæg'!E12</f>
        <v>0</v>
      </c>
      <c r="F28" s="8" t="s">
        <v>3</v>
      </c>
      <c r="G28" s="62">
        <f>C28+E28</f>
        <v>0</v>
      </c>
      <c r="H28" s="8" t="s">
        <v>3</v>
      </c>
      <c r="I28" s="1"/>
    </row>
    <row r="29" spans="1:9" ht="15" customHeight="1" x14ac:dyDescent="0.25">
      <c r="A29" s="1"/>
      <c r="B29" s="104" t="s">
        <v>78</v>
      </c>
      <c r="C29" s="62">
        <f>'Fane 11.2. Engangstillæg'!E12</f>
        <v>0</v>
      </c>
      <c r="D29" s="8" t="s">
        <v>3</v>
      </c>
      <c r="E29" s="62">
        <f>'Fane 11.2. Engangstillæg'!G12</f>
        <v>0</v>
      </c>
      <c r="F29" s="8" t="s">
        <v>3</v>
      </c>
      <c r="G29" s="62">
        <f t="shared" ref="G29:G31" si="2">C29+E29</f>
        <v>0</v>
      </c>
      <c r="H29" s="8" t="s">
        <v>3</v>
      </c>
      <c r="I29" s="1"/>
    </row>
    <row r="30" spans="1:9" ht="15" customHeight="1" x14ac:dyDescent="0.25">
      <c r="A30" s="1"/>
      <c r="B30" s="129" t="s">
        <v>184</v>
      </c>
      <c r="C30" s="62">
        <f>-C28*('Fane 15. Nøgletal'!C33+'Fane 5. Individuelt eff. krav'!G9)</f>
        <v>0</v>
      </c>
      <c r="D30" s="8" t="s">
        <v>3</v>
      </c>
      <c r="E30" s="62">
        <f>-E28*('Fane 15. Nøgletal'!E33+'Fane 5. Individuelt eff. krav'!I9)</f>
        <v>0</v>
      </c>
      <c r="F30" s="8" t="s">
        <v>3</v>
      </c>
      <c r="G30" s="62">
        <f t="shared" si="2"/>
        <v>0</v>
      </c>
      <c r="H30" s="8" t="s">
        <v>3</v>
      </c>
      <c r="I30" s="1"/>
    </row>
    <row r="31" spans="1:9" ht="15" customHeight="1" x14ac:dyDescent="0.25">
      <c r="A31" s="1"/>
      <c r="B31" s="129" t="s">
        <v>185</v>
      </c>
      <c r="C31" s="62">
        <f>-C29*('Fane 15. Nøgletal'!C27+'Fane 5. Individuelt eff. krav'!G9)</f>
        <v>0</v>
      </c>
      <c r="D31" s="8" t="s">
        <v>3</v>
      </c>
      <c r="E31" s="62">
        <f>-E29*('Fane 15. Nøgletal'!E27+'Fane 5. Individuelt eff. krav'!I9)</f>
        <v>0</v>
      </c>
      <c r="F31" s="8" t="s">
        <v>3</v>
      </c>
      <c r="G31" s="62">
        <f t="shared" si="2"/>
        <v>0</v>
      </c>
      <c r="H31" s="8" t="s">
        <v>3</v>
      </c>
      <c r="I31" s="1"/>
    </row>
    <row r="32" spans="1:9" ht="15" customHeight="1" x14ac:dyDescent="0.25">
      <c r="A32" s="1"/>
      <c r="B32" s="78" t="s">
        <v>83</v>
      </c>
      <c r="C32" s="10">
        <f>SUM(C28:C31)</f>
        <v>0</v>
      </c>
      <c r="D32" s="11" t="s">
        <v>3</v>
      </c>
      <c r="E32" s="10">
        <f t="shared" ref="E32" si="3">SUM(E28:E31)</f>
        <v>0</v>
      </c>
      <c r="F32" s="11" t="s">
        <v>3</v>
      </c>
      <c r="G32" s="10">
        <f>SUM(G28:G31)</f>
        <v>0</v>
      </c>
      <c r="H32" s="11" t="s">
        <v>3</v>
      </c>
      <c r="I32" s="1"/>
    </row>
    <row r="33" spans="1:9" x14ac:dyDescent="0.25">
      <c r="A33" s="1"/>
      <c r="B33" s="32" t="s">
        <v>127</v>
      </c>
      <c r="C33" s="27"/>
      <c r="D33" s="27"/>
      <c r="E33" s="27"/>
      <c r="F33" s="27"/>
      <c r="G33" s="27"/>
      <c r="H33" s="19"/>
      <c r="I33" s="1"/>
    </row>
    <row r="34" spans="1:9" ht="26.25" customHeight="1" x14ac:dyDescent="0.25">
      <c r="A34" s="1"/>
      <c r="B34" s="30" t="s">
        <v>156</v>
      </c>
      <c r="C34" s="10">
        <f>'Fane 7. Kontrol af ØR2022'!I33</f>
        <v>0</v>
      </c>
      <c r="D34" s="11" t="s">
        <v>3</v>
      </c>
      <c r="E34" s="10">
        <f>'Fane 7. Kontrol af ØR2022'!I33</f>
        <v>0</v>
      </c>
      <c r="F34" s="11" t="s">
        <v>3</v>
      </c>
      <c r="G34" s="10">
        <f>C34+E34</f>
        <v>0</v>
      </c>
      <c r="H34" s="11" t="s">
        <v>3</v>
      </c>
      <c r="I34" s="1"/>
    </row>
    <row r="35" spans="1:9" ht="15" customHeight="1" x14ac:dyDescent="0.25">
      <c r="A35" s="1"/>
      <c r="B35" s="32" t="s">
        <v>244</v>
      </c>
      <c r="C35" s="27"/>
      <c r="D35" s="27"/>
      <c r="E35" s="27"/>
      <c r="F35" s="27"/>
      <c r="G35" s="27"/>
      <c r="H35" s="19"/>
      <c r="I35" s="1"/>
    </row>
    <row r="36" spans="1:9" ht="15" customHeight="1" x14ac:dyDescent="0.25">
      <c r="A36" s="1"/>
      <c r="B36" s="30" t="s">
        <v>244</v>
      </c>
      <c r="C36" s="10">
        <f>'Fane 9. Korrektion af ØR2022'!E17</f>
        <v>0</v>
      </c>
      <c r="D36" s="11" t="s">
        <v>3</v>
      </c>
      <c r="E36" s="10">
        <f>'Fane 9. Korrektion af ØR2022'!G17</f>
        <v>0</v>
      </c>
      <c r="F36" s="11" t="s">
        <v>3</v>
      </c>
      <c r="G36" s="10">
        <f>C36+E36</f>
        <v>0</v>
      </c>
      <c r="H36" s="11" t="s">
        <v>3</v>
      </c>
      <c r="I36" s="1"/>
    </row>
    <row r="37" spans="1:9" s="117" customFormat="1" ht="15.75" customHeight="1" x14ac:dyDescent="0.25">
      <c r="A37" s="90"/>
      <c r="B37" s="32" t="s">
        <v>151</v>
      </c>
      <c r="C37" s="27"/>
      <c r="D37" s="27"/>
      <c r="E37" s="27"/>
      <c r="F37" s="27"/>
      <c r="G37" s="27"/>
      <c r="H37" s="19"/>
      <c r="I37" s="90"/>
    </row>
    <row r="38" spans="1:9" s="117" customFormat="1" ht="26.25" customHeight="1" x14ac:dyDescent="0.25">
      <c r="A38" s="90"/>
      <c r="B38" s="115" t="s">
        <v>152</v>
      </c>
      <c r="C38" s="118">
        <f>'Fane 8. Skattesagen'!G12</f>
        <v>0</v>
      </c>
      <c r="D38" s="11" t="s">
        <v>3</v>
      </c>
      <c r="E38" s="118">
        <f>'Fane 8. Skattesagen'!I12</f>
        <v>0</v>
      </c>
      <c r="F38" s="11" t="s">
        <v>3</v>
      </c>
      <c r="G38" s="118">
        <f>C38+E38</f>
        <v>0</v>
      </c>
      <c r="H38" s="11" t="s">
        <v>3</v>
      </c>
      <c r="I38" s="90"/>
    </row>
    <row r="39" spans="1:9" s="117" customFormat="1" ht="15.75" customHeight="1" x14ac:dyDescent="0.25">
      <c r="A39" s="90"/>
      <c r="B39" s="132" t="s">
        <v>245</v>
      </c>
      <c r="C39" s="133"/>
      <c r="D39" s="134"/>
      <c r="E39" s="133"/>
      <c r="F39" s="134"/>
      <c r="G39" s="133"/>
      <c r="H39" s="134"/>
      <c r="I39" s="90"/>
    </row>
    <row r="40" spans="1:9" s="117" customFormat="1" ht="26.25" customHeight="1" x14ac:dyDescent="0.25">
      <c r="A40" s="90"/>
      <c r="B40" s="130" t="s">
        <v>308</v>
      </c>
      <c r="C40" s="131">
        <v>135286.63922104239</v>
      </c>
      <c r="D40" s="11" t="s">
        <v>3</v>
      </c>
      <c r="E40" s="131">
        <v>0</v>
      </c>
      <c r="F40" s="11" t="s">
        <v>3</v>
      </c>
      <c r="G40" s="131">
        <f>SUM(C40+E40)</f>
        <v>135286.63922104239</v>
      </c>
      <c r="H40" s="11" t="s">
        <v>3</v>
      </c>
      <c r="I40" s="90"/>
    </row>
    <row r="41" spans="1:9" x14ac:dyDescent="0.25">
      <c r="A41" s="1"/>
      <c r="B41" s="32" t="s">
        <v>118</v>
      </c>
      <c r="C41" s="46">
        <f>SUM(C36,C34,C26,C32,C22,C20,C38,C40)</f>
        <v>89823765.237686649</v>
      </c>
      <c r="D41" s="29" t="s">
        <v>3</v>
      </c>
      <c r="E41" s="46">
        <f>SUM(E36,E34,E26,E32,E22,E20,E38)</f>
        <v>88706130.849667102</v>
      </c>
      <c r="F41" s="29" t="s">
        <v>3</v>
      </c>
      <c r="G41" s="46">
        <f>SUM(G36,G34,G26,G32,G24,G20,G38,G40)</f>
        <v>174074845.02749068</v>
      </c>
      <c r="H41" s="29" t="s">
        <v>3</v>
      </c>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45"/>
      <c r="B45" s="45"/>
      <c r="C45" s="45"/>
      <c r="D45" s="45"/>
      <c r="E45" s="45"/>
      <c r="F45" s="45"/>
      <c r="G45" s="45"/>
      <c r="H45" s="45"/>
      <c r="I45" s="45"/>
    </row>
    <row r="46" spans="1:9" x14ac:dyDescent="0.25">
      <c r="A46" s="45"/>
      <c r="B46" s="45"/>
      <c r="C46" s="45"/>
      <c r="D46" s="45"/>
      <c r="E46" s="45"/>
      <c r="F46" s="45"/>
      <c r="G46" s="45"/>
      <c r="H46" s="45"/>
      <c r="I46" s="45"/>
    </row>
    <row r="47" spans="1:9" x14ac:dyDescent="0.25">
      <c r="A47" s="45"/>
      <c r="B47" s="45"/>
      <c r="C47" s="45"/>
      <c r="D47" s="45"/>
      <c r="E47" s="45"/>
      <c r="F47" s="45"/>
      <c r="G47" s="45"/>
      <c r="H47" s="45"/>
      <c r="I47" s="45"/>
    </row>
  </sheetData>
  <sheetProtection algorithmName="SHA-512" hashValue="q7tVjovaFH73lCCQ2Q8IP9av5FXqAAPa8iWrvZhOPxFO91mN1psF8rtUR++FQ5YcXP60M0B54c+tOcPkIY6STA==" saltValue="jn1ctVpx4n9hpmw+YYs8IQ==" spinCount="100000" sheet="1" objects="1" scenarios="1"/>
  <mergeCells count="4">
    <mergeCell ref="C8:D8"/>
    <mergeCell ref="E8:F8"/>
    <mergeCell ref="G8:H8"/>
    <mergeCell ref="B3:H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5"/>
  <sheetViews>
    <sheetView showGridLines="0" view="pageLayout" topLeftCell="A4" zoomScaleNormal="100" workbookViewId="0">
      <selection activeCell="C16" sqref="C16"/>
    </sheetView>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75" t="s">
        <v>205</v>
      </c>
      <c r="C3" s="175"/>
      <c r="D3" s="1"/>
    </row>
    <row r="4" spans="1:4" ht="25.5" customHeight="1" x14ac:dyDescent="0.25">
      <c r="A4" s="1"/>
      <c r="B4" s="175"/>
      <c r="C4" s="17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77" t="s">
        <v>103</v>
      </c>
      <c r="C9" s="24">
        <v>1.2699999999999999E-2</v>
      </c>
      <c r="D9" s="1"/>
    </row>
    <row r="10" spans="1:4" x14ac:dyDescent="0.25">
      <c r="A10" s="1"/>
      <c r="B10" s="77" t="s">
        <v>104</v>
      </c>
      <c r="C10" s="24">
        <v>1.7500000000000002E-2</v>
      </c>
      <c r="D10" s="1"/>
    </row>
    <row r="11" spans="1:4" x14ac:dyDescent="0.25">
      <c r="A11" s="1"/>
      <c r="B11" s="77" t="s">
        <v>23</v>
      </c>
      <c r="C11" s="24">
        <v>1.6899999999999998E-2</v>
      </c>
      <c r="D11" s="1"/>
    </row>
    <row r="12" spans="1:4" x14ac:dyDescent="0.25">
      <c r="A12" s="1"/>
      <c r="B12" s="33" t="s">
        <v>148</v>
      </c>
      <c r="C12" s="34">
        <v>1.9699999999999999E-2</v>
      </c>
      <c r="D12" s="1"/>
    </row>
    <row r="13" spans="1:4" x14ac:dyDescent="0.25">
      <c r="A13" s="1"/>
      <c r="B13" s="33" t="s">
        <v>124</v>
      </c>
      <c r="C13" s="34">
        <v>1.2200000000000001E-2</v>
      </c>
      <c r="D13" s="1"/>
    </row>
    <row r="14" spans="1:4" x14ac:dyDescent="0.25">
      <c r="A14" s="1"/>
      <c r="B14" s="77" t="s">
        <v>147</v>
      </c>
      <c r="C14" s="42">
        <v>3.3E-3</v>
      </c>
      <c r="D14" s="1"/>
    </row>
    <row r="15" spans="1:4" x14ac:dyDescent="0.25">
      <c r="A15" s="1"/>
      <c r="B15" s="33" t="s">
        <v>174</v>
      </c>
      <c r="C15" s="58">
        <v>3.56E-2</v>
      </c>
      <c r="D15" s="1"/>
    </row>
    <row r="16" spans="1:4" x14ac:dyDescent="0.25">
      <c r="A16" s="1"/>
      <c r="B16" s="33" t="s">
        <v>268</v>
      </c>
      <c r="C16" s="141">
        <v>8.0799999999999997E-2</v>
      </c>
      <c r="D16" s="1"/>
    </row>
    <row r="17" spans="1:4" x14ac:dyDescent="0.25">
      <c r="A17" s="1"/>
      <c r="B17" s="32"/>
      <c r="C17" s="19"/>
      <c r="D17" s="1"/>
    </row>
    <row r="18" spans="1:4" x14ac:dyDescent="0.25">
      <c r="A18" s="1"/>
      <c r="B18" s="1"/>
      <c r="C18" s="1"/>
      <c r="D18" s="1"/>
    </row>
    <row r="19" spans="1:4" x14ac:dyDescent="0.25">
      <c r="A19" s="1"/>
      <c r="B19" s="1"/>
      <c r="C19" s="1"/>
      <c r="D19" s="1"/>
    </row>
    <row r="20" spans="1:4" x14ac:dyDescent="0.25">
      <c r="A20" s="1"/>
      <c r="B20" s="32" t="s">
        <v>94</v>
      </c>
      <c r="C20" s="19"/>
      <c r="D20" s="1"/>
    </row>
    <row r="21" spans="1:4" x14ac:dyDescent="0.25">
      <c r="A21" s="1"/>
      <c r="B21" s="77" t="s">
        <v>105</v>
      </c>
      <c r="C21" s="22">
        <v>9.1000000000000004E-3</v>
      </c>
      <c r="D21" s="1"/>
    </row>
    <row r="22" spans="1:4" x14ac:dyDescent="0.25">
      <c r="A22" s="1"/>
      <c r="B22" s="77" t="s">
        <v>129</v>
      </c>
      <c r="C22" s="22">
        <v>1.77E-2</v>
      </c>
      <c r="D22" s="1"/>
    </row>
    <row r="23" spans="1:4" x14ac:dyDescent="0.25">
      <c r="A23" s="1"/>
      <c r="B23" s="77" t="s">
        <v>130</v>
      </c>
      <c r="C23" s="22">
        <v>8.6999999999999994E-3</v>
      </c>
      <c r="D23" s="1"/>
    </row>
    <row r="24" spans="1:4" x14ac:dyDescent="0.25">
      <c r="A24" s="1"/>
      <c r="B24" s="77" t="s">
        <v>106</v>
      </c>
      <c r="C24" s="35">
        <v>2.8400000000000002E-2</v>
      </c>
      <c r="D24" s="1"/>
    </row>
    <row r="25" spans="1:4" x14ac:dyDescent="0.25">
      <c r="A25" s="1"/>
      <c r="B25" s="77" t="s">
        <v>131</v>
      </c>
      <c r="C25" s="35">
        <v>2.75E-2</v>
      </c>
      <c r="D25" s="1"/>
    </row>
    <row r="26" spans="1:4" x14ac:dyDescent="0.25">
      <c r="A26" s="1"/>
      <c r="B26" s="77" t="s">
        <v>132</v>
      </c>
      <c r="C26" s="35">
        <v>1.4800000000000001E-2</v>
      </c>
      <c r="D26" s="1"/>
    </row>
    <row r="27" spans="1:4" x14ac:dyDescent="0.25">
      <c r="A27" s="1"/>
      <c r="B27" s="33" t="s">
        <v>170</v>
      </c>
      <c r="C27" s="59">
        <v>0</v>
      </c>
      <c r="D27" s="1"/>
    </row>
    <row r="28" spans="1:4" x14ac:dyDescent="0.25">
      <c r="A28" s="1"/>
      <c r="B28" s="137" t="s">
        <v>269</v>
      </c>
      <c r="C28" s="142">
        <v>0</v>
      </c>
      <c r="D28" s="1"/>
    </row>
    <row r="29" spans="1:4" x14ac:dyDescent="0.25">
      <c r="A29" s="1"/>
      <c r="B29" s="32"/>
      <c r="C29" s="19"/>
      <c r="D29" s="1"/>
    </row>
    <row r="30" spans="1:4" x14ac:dyDescent="0.25">
      <c r="A30" s="1"/>
      <c r="B30" s="1"/>
      <c r="C30" s="1"/>
      <c r="D30" s="1"/>
    </row>
    <row r="31" spans="1:4" x14ac:dyDescent="0.25">
      <c r="A31" s="1"/>
      <c r="B31" s="1"/>
      <c r="C31" s="1"/>
      <c r="D31" s="1"/>
    </row>
    <row r="32" spans="1:4" x14ac:dyDescent="0.25">
      <c r="A32" s="1"/>
      <c r="B32" s="32" t="s">
        <v>95</v>
      </c>
      <c r="C32" s="19"/>
      <c r="D32" s="1"/>
    </row>
    <row r="33" spans="1:4" x14ac:dyDescent="0.25">
      <c r="A33" s="1"/>
      <c r="B33" s="77" t="s">
        <v>107</v>
      </c>
      <c r="C33" s="24">
        <v>0.02</v>
      </c>
      <c r="D33" s="1"/>
    </row>
    <row r="34" spans="1:4" x14ac:dyDescent="0.25">
      <c r="A34" s="1"/>
      <c r="B34" s="32"/>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5"/>
      <c r="B50" s="45"/>
      <c r="C50" s="45"/>
      <c r="D50" s="45"/>
    </row>
    <row r="51" spans="1:4" x14ac:dyDescent="0.25">
      <c r="A51" s="45"/>
      <c r="B51" s="45"/>
      <c r="C51" s="45"/>
      <c r="D51" s="45"/>
    </row>
    <row r="52" spans="1:4" x14ac:dyDescent="0.25">
      <c r="A52" s="45"/>
      <c r="B52" s="45"/>
      <c r="C52" s="45"/>
      <c r="D52" s="45"/>
    </row>
    <row r="53" spans="1:4" x14ac:dyDescent="0.25">
      <c r="A53" s="45"/>
      <c r="B53" s="45"/>
      <c r="C53" s="45"/>
      <c r="D53" s="45"/>
    </row>
    <row r="54" spans="1:4" x14ac:dyDescent="0.25">
      <c r="A54" s="45"/>
      <c r="B54" s="45"/>
      <c r="C54" s="45"/>
      <c r="D54" s="45"/>
    </row>
    <row r="55" spans="1:4" x14ac:dyDescent="0.25">
      <c r="A55" s="45"/>
      <c r="B55" s="45"/>
      <c r="C55" s="45"/>
      <c r="D55" s="45"/>
    </row>
  </sheetData>
  <sheetProtection algorithmName="SHA-512" hashValue="mcAD95ILqV9v3HyPDBiJT6p3LVB1+AjjZRsly2Roo65e+x61kvLszLiXVb/lQ4TclESWpIlmqV8u/NQb0SjUbg==" saltValue="VnEbOByArIeb1FSBF8bDf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I45"/>
  <sheetViews>
    <sheetView showGridLines="0" view="pageLayout" topLeftCell="A4" zoomScaleNormal="100" workbookViewId="0">
      <selection activeCell="C16" activeCellId="1" sqref="E16 C16"/>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73" t="s">
        <v>309</v>
      </c>
      <c r="C3" s="173"/>
      <c r="D3" s="173"/>
      <c r="E3" s="173"/>
      <c r="F3" s="173"/>
      <c r="G3" s="173"/>
      <c r="H3" s="173"/>
      <c r="I3" s="1"/>
    </row>
    <row r="4" spans="1:9" ht="15" customHeight="1" x14ac:dyDescent="0.25">
      <c r="A4" s="1"/>
      <c r="B4" s="173"/>
      <c r="C4" s="173"/>
      <c r="D4" s="173"/>
      <c r="E4" s="173"/>
      <c r="F4" s="173"/>
      <c r="G4" s="173"/>
      <c r="H4" s="173"/>
      <c r="I4" s="1"/>
    </row>
    <row r="5" spans="1:9" x14ac:dyDescent="0.25">
      <c r="A5" s="1"/>
      <c r="B5" s="174" t="s">
        <v>22</v>
      </c>
      <c r="C5" s="174"/>
      <c r="D5" s="174"/>
      <c r="E5" s="174"/>
      <c r="F5" s="174"/>
      <c r="G5" s="174"/>
      <c r="H5" s="174"/>
      <c r="I5" s="1"/>
    </row>
    <row r="6" spans="1:9" x14ac:dyDescent="0.25">
      <c r="A6" s="1"/>
      <c r="B6" s="1"/>
      <c r="C6" s="1"/>
      <c r="D6" s="1"/>
      <c r="E6" s="1"/>
      <c r="F6" s="1"/>
      <c r="G6" s="1"/>
      <c r="H6" s="1"/>
      <c r="I6" s="1"/>
    </row>
    <row r="7" spans="1:9" x14ac:dyDescent="0.25">
      <c r="A7" s="1"/>
      <c r="B7" s="1"/>
      <c r="C7" s="1"/>
      <c r="D7" s="1"/>
      <c r="E7" s="1"/>
      <c r="F7" s="1"/>
      <c r="G7" s="1"/>
      <c r="H7" s="1"/>
      <c r="I7" s="1"/>
    </row>
    <row r="8" spans="1:9" ht="26.25" customHeight="1" x14ac:dyDescent="0.25">
      <c r="A8" s="1"/>
      <c r="B8" s="20" t="s">
        <v>13</v>
      </c>
      <c r="C8" s="171" t="s">
        <v>223</v>
      </c>
      <c r="D8" s="171"/>
      <c r="E8" s="171" t="s">
        <v>224</v>
      </c>
      <c r="F8" s="171"/>
      <c r="G8" s="171" t="s">
        <v>242</v>
      </c>
      <c r="H8" s="172"/>
      <c r="I8" s="1"/>
    </row>
    <row r="9" spans="1:9" ht="26.25" customHeight="1" x14ac:dyDescent="0.25">
      <c r="A9" s="1"/>
      <c r="B9" s="28" t="s">
        <v>117</v>
      </c>
      <c r="C9" s="7">
        <f>'Fane 2.1. Økonomisk ramme 2024'!C20</f>
        <v>84708949.92778042</v>
      </c>
      <c r="D9" s="8" t="s">
        <v>3</v>
      </c>
      <c r="E9" s="7">
        <f>'Fane 2.1. Økonomisk ramme 2024'!E20</f>
        <v>82220966.59827818</v>
      </c>
      <c r="F9" s="8" t="s">
        <v>3</v>
      </c>
      <c r="G9" s="7">
        <f>'Fane 2.1. Økonomisk ramme 2024'!G20</f>
        <v>166929916.52605855</v>
      </c>
      <c r="H9" s="8" t="s">
        <v>3</v>
      </c>
      <c r="I9" s="1"/>
    </row>
    <row r="10" spans="1:9" ht="15" customHeight="1" x14ac:dyDescent="0.25">
      <c r="A10" s="1"/>
      <c r="B10" s="25" t="s">
        <v>19</v>
      </c>
      <c r="C10" s="7">
        <f>SUM(C9:C9)*'Fane 15. Nøgletal'!C16</f>
        <v>6844483.1541646579</v>
      </c>
      <c r="D10" s="8" t="s">
        <v>3</v>
      </c>
      <c r="E10" s="7">
        <f>SUM(E9:E9)*'Fane 15. Nøgletal'!C16</f>
        <v>6643454.1011408763</v>
      </c>
      <c r="F10" s="8" t="s">
        <v>3</v>
      </c>
      <c r="G10" s="7">
        <f>SUM(G9:G9)*'Fane 15. Nøgletal'!C16</f>
        <v>13487937.255305531</v>
      </c>
      <c r="H10" s="8" t="s">
        <v>3</v>
      </c>
      <c r="I10" s="1"/>
    </row>
    <row r="11" spans="1:9" ht="15" customHeight="1" x14ac:dyDescent="0.25">
      <c r="A11" s="1"/>
      <c r="B11" s="25" t="s">
        <v>10</v>
      </c>
      <c r="C11" s="9">
        <f>-SUM(C9:C10)*'Fane 5. Individuelt eff. krav'!G9</f>
        <v>0</v>
      </c>
      <c r="D11" s="8" t="s">
        <v>3</v>
      </c>
      <c r="E11" s="9">
        <f>-SUM(E9:E10)*'Fane 5. Individuelt eff. krav'!G14</f>
        <v>-684899.3225752085</v>
      </c>
      <c r="F11" s="8" t="s">
        <v>3</v>
      </c>
      <c r="G11" s="9">
        <f>C11+E11</f>
        <v>-684899.3225752085</v>
      </c>
      <c r="H11" s="8" t="s">
        <v>3</v>
      </c>
      <c r="I11" s="1"/>
    </row>
    <row r="12" spans="1:9" ht="15" customHeight="1" x14ac:dyDescent="0.25">
      <c r="A12" s="1"/>
      <c r="B12" s="25" t="s">
        <v>24</v>
      </c>
      <c r="C12" s="9">
        <f>-'Fane 4.1. Gen. krav - drift'!C61</f>
        <v>-652549.2186383123</v>
      </c>
      <c r="D12" s="8" t="s">
        <v>3</v>
      </c>
      <c r="E12" s="9">
        <f>-'Fane 4.1. Gen. krav - drift'!E61</f>
        <v>-635384.44374896865</v>
      </c>
      <c r="F12" s="8" t="s">
        <v>3</v>
      </c>
      <c r="G12" s="9">
        <f>C12+E12</f>
        <v>-1287933.662387281</v>
      </c>
      <c r="H12" s="8" t="s">
        <v>3</v>
      </c>
      <c r="I12" s="1"/>
    </row>
    <row r="13" spans="1:9" ht="15" customHeight="1" x14ac:dyDescent="0.25">
      <c r="A13" s="1"/>
      <c r="B13" s="25" t="s">
        <v>25</v>
      </c>
      <c r="C13" s="9">
        <f>-'Fane 4.2. Gen. krav - anlæg'!G60</f>
        <v>0</v>
      </c>
      <c r="D13" s="8" t="s">
        <v>3</v>
      </c>
      <c r="E13" s="9">
        <f>-'Fane 4.2. Gen. krav - anlæg'!I50</f>
        <v>0</v>
      </c>
      <c r="F13" s="8" t="s">
        <v>3</v>
      </c>
      <c r="G13" s="9">
        <f>-'Fane 4.2. Gen. krav - anlæg'!K50</f>
        <v>0</v>
      </c>
      <c r="H13" s="8" t="s">
        <v>3</v>
      </c>
      <c r="I13" s="1"/>
    </row>
    <row r="14" spans="1:9" ht="15" customHeight="1" x14ac:dyDescent="0.25">
      <c r="A14" s="1"/>
      <c r="B14" s="30" t="s">
        <v>21</v>
      </c>
      <c r="C14" s="10">
        <f>SUM(C9:C13)</f>
        <v>90900883.863306761</v>
      </c>
      <c r="D14" s="11" t="s">
        <v>3</v>
      </c>
      <c r="E14" s="10">
        <f t="shared" ref="E14" si="0">SUM(E9:E13)</f>
        <v>87544136.933094874</v>
      </c>
      <c r="F14" s="11" t="s">
        <v>3</v>
      </c>
      <c r="G14" s="10">
        <f>SUM(G9:G13)</f>
        <v>178445020.79640159</v>
      </c>
      <c r="H14" s="11" t="s">
        <v>3</v>
      </c>
      <c r="I14" s="1"/>
    </row>
    <row r="15" spans="1:9" x14ac:dyDescent="0.25">
      <c r="A15" s="1"/>
      <c r="B15" s="32" t="s">
        <v>12</v>
      </c>
      <c r="C15" s="27"/>
      <c r="D15" s="27"/>
      <c r="E15" s="27"/>
      <c r="F15" s="27"/>
      <c r="G15" s="27"/>
      <c r="H15" s="19"/>
      <c r="I15" s="1"/>
    </row>
    <row r="16" spans="1:9" ht="15" customHeight="1" x14ac:dyDescent="0.25">
      <c r="A16" s="1"/>
      <c r="B16" s="30" t="s">
        <v>12</v>
      </c>
      <c r="C16" s="10">
        <f>'Fane 6. Ikke-påvirkelige omk.'!C17*(1+'Fane 15. Nøgletal'!$C$16)+'Fane 6. Ikke-påvirkelige omk.'!C21+'Fane 6. Ikke-påvirkelige omk.'!C29</f>
        <v>5381874.5872765463</v>
      </c>
      <c r="D16" s="11" t="s">
        <v>3</v>
      </c>
      <c r="E16" s="10">
        <f>'Fane 6. Ikke-påvirkelige omk.'!E17*(1+'Fane 15. Nøgletal'!$C$16)+'Fane 6. Ikke-påvirkelige omk.'!E21+'Fane 6. Ikke-påvirkelige omk.'!E29</f>
        <v>7009165.5229011532</v>
      </c>
      <c r="F16" s="11" t="s">
        <v>3</v>
      </c>
      <c r="G16" s="10">
        <f>'Fane 6. Ikke-påvirkelige omk.'!G17*(1+'Fane 15. Nøgletal'!$C$16)+'Fane 6. Ikke-påvirkelige omk.'!G21+'Fane 6. Ikke-påvirkelige omk.'!G29</f>
        <v>7576020.9246777277</v>
      </c>
      <c r="H16" s="11" t="s">
        <v>3</v>
      </c>
      <c r="I16" s="1"/>
    </row>
    <row r="17" spans="1:9" ht="15" customHeight="1" x14ac:dyDescent="0.25">
      <c r="A17" s="1"/>
      <c r="B17" s="32" t="s">
        <v>82</v>
      </c>
      <c r="C17" s="27"/>
      <c r="D17" s="27"/>
      <c r="E17" s="27"/>
      <c r="F17" s="27"/>
      <c r="G17" s="27"/>
      <c r="H17" s="19"/>
      <c r="I17" s="1"/>
    </row>
    <row r="18" spans="1:9" ht="15" customHeight="1" x14ac:dyDescent="0.25">
      <c r="A18" s="1"/>
      <c r="B18" s="105" t="s">
        <v>82</v>
      </c>
      <c r="C18" s="10">
        <v>0</v>
      </c>
      <c r="D18" s="11" t="s">
        <v>3</v>
      </c>
      <c r="E18" s="10">
        <v>0</v>
      </c>
      <c r="F18" s="11" t="s">
        <v>3</v>
      </c>
      <c r="G18" s="10">
        <v>0</v>
      </c>
      <c r="H18" s="11" t="s">
        <v>3</v>
      </c>
      <c r="I18" s="1"/>
    </row>
    <row r="19" spans="1:9" x14ac:dyDescent="0.25">
      <c r="A19" s="1"/>
      <c r="B19" s="32" t="s">
        <v>127</v>
      </c>
      <c r="C19" s="27"/>
      <c r="D19" s="27"/>
      <c r="E19" s="27"/>
      <c r="F19" s="27"/>
      <c r="G19" s="27"/>
      <c r="H19" s="19"/>
      <c r="I19" s="1"/>
    </row>
    <row r="20" spans="1:9" ht="26.25" customHeight="1" x14ac:dyDescent="0.25">
      <c r="A20" s="1"/>
      <c r="B20" s="30" t="s">
        <v>156</v>
      </c>
      <c r="C20" s="10">
        <v>0</v>
      </c>
      <c r="D20" s="11" t="s">
        <v>3</v>
      </c>
      <c r="E20" s="10">
        <v>0</v>
      </c>
      <c r="F20" s="11" t="s">
        <v>3</v>
      </c>
      <c r="G20" s="10">
        <v>0</v>
      </c>
      <c r="H20" s="11" t="s">
        <v>3</v>
      </c>
      <c r="I20" s="1"/>
    </row>
    <row r="21" spans="1:9" ht="26.25" customHeight="1" x14ac:dyDescent="0.25">
      <c r="A21" s="1"/>
      <c r="B21" s="20" t="s">
        <v>151</v>
      </c>
      <c r="C21" s="27"/>
      <c r="D21" s="27"/>
      <c r="E21" s="27"/>
      <c r="F21" s="27"/>
      <c r="G21" s="27"/>
      <c r="H21" s="19"/>
      <c r="I21" s="1"/>
    </row>
    <row r="22" spans="1:9" ht="26.25" customHeight="1" x14ac:dyDescent="0.25">
      <c r="A22" s="1"/>
      <c r="B22" s="115" t="s">
        <v>152</v>
      </c>
      <c r="C22" s="118">
        <v>0</v>
      </c>
      <c r="D22" s="11" t="s">
        <v>3</v>
      </c>
      <c r="E22" s="118">
        <v>0</v>
      </c>
      <c r="F22" s="11" t="s">
        <v>3</v>
      </c>
      <c r="G22" s="118">
        <v>0</v>
      </c>
      <c r="H22" s="11" t="s">
        <v>3</v>
      </c>
      <c r="I22" s="1"/>
    </row>
    <row r="23" spans="1:9" x14ac:dyDescent="0.25">
      <c r="A23" s="1"/>
      <c r="B23" s="32" t="s">
        <v>118</v>
      </c>
      <c r="C23" s="46">
        <f>SUM(C14,C16,G18,G20,G22)</f>
        <v>96282758.450583309</v>
      </c>
      <c r="D23" s="29" t="s">
        <v>3</v>
      </c>
      <c r="E23" s="46">
        <f t="shared" ref="E23" si="1">SUM(E14,E16,I18,I20,I22)</f>
        <v>94553302.455996022</v>
      </c>
      <c r="F23" s="29" t="s">
        <v>3</v>
      </c>
      <c r="G23" s="46">
        <f t="shared" ref="G23" si="2">SUM(G14,G16,K18,K20,K22)</f>
        <v>186021041.72107932</v>
      </c>
      <c r="H23" s="29" t="s">
        <v>3</v>
      </c>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uJUw0s0XtaiJEYkff03h1SBLd1VZHNcJ7dfYFQAMTXriikjpNdqvhqdrmz79vcjCPWC3nnizeufa11k3PY4wcA==" saltValue="jCwTHWVZmPvNM5SDasogdA==" spinCount="100000" sheet="1" objects="1" scenarios="1"/>
  <mergeCells count="5">
    <mergeCell ref="B3:H4"/>
    <mergeCell ref="B5:H5"/>
    <mergeCell ref="C8:D8"/>
    <mergeCell ref="E8:F8"/>
    <mergeCell ref="G8:H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8CE9-36C5-405E-864A-0F78841B6C2C}">
  <dimension ref="A1:I45"/>
  <sheetViews>
    <sheetView showGridLines="0" view="pageLayout" topLeftCell="A7" zoomScaleNormal="100" workbookViewId="0">
      <selection activeCell="G17" sqref="G17"/>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73" t="s">
        <v>310</v>
      </c>
      <c r="C3" s="173"/>
      <c r="D3" s="173"/>
      <c r="E3" s="173"/>
      <c r="F3" s="173"/>
      <c r="G3" s="173"/>
      <c r="H3" s="173"/>
      <c r="I3" s="1"/>
    </row>
    <row r="4" spans="1:9" ht="15" customHeight="1" x14ac:dyDescent="0.25">
      <c r="A4" s="1"/>
      <c r="B4" s="173"/>
      <c r="C4" s="173"/>
      <c r="D4" s="173"/>
      <c r="E4" s="173"/>
      <c r="F4" s="173"/>
      <c r="G4" s="173"/>
      <c r="H4" s="173"/>
      <c r="I4" s="1"/>
    </row>
    <row r="5" spans="1:9" x14ac:dyDescent="0.25">
      <c r="A5" s="1"/>
      <c r="B5" s="174" t="s">
        <v>22</v>
      </c>
      <c r="C5" s="174"/>
      <c r="D5" s="174"/>
      <c r="E5" s="174"/>
      <c r="F5" s="174"/>
      <c r="G5" s="174"/>
      <c r="H5" s="174"/>
      <c r="I5" s="1"/>
    </row>
    <row r="6" spans="1:9" x14ac:dyDescent="0.25">
      <c r="A6" s="1"/>
      <c r="B6" s="1"/>
      <c r="C6" s="1"/>
      <c r="D6" s="1"/>
      <c r="E6" s="1"/>
      <c r="F6" s="1"/>
      <c r="G6" s="1"/>
      <c r="H6" s="1"/>
      <c r="I6" s="1"/>
    </row>
    <row r="7" spans="1:9" x14ac:dyDescent="0.25">
      <c r="A7" s="1"/>
      <c r="B7" s="1"/>
      <c r="C7" s="1"/>
      <c r="D7" s="1"/>
      <c r="E7" s="1"/>
      <c r="F7" s="1"/>
      <c r="G7" s="1"/>
      <c r="H7" s="1"/>
      <c r="I7" s="1"/>
    </row>
    <row r="8" spans="1:9" ht="26.25" customHeight="1" x14ac:dyDescent="0.25">
      <c r="A8" s="1"/>
      <c r="B8" s="20" t="s">
        <v>13</v>
      </c>
      <c r="C8" s="171" t="s">
        <v>223</v>
      </c>
      <c r="D8" s="171"/>
      <c r="E8" s="171" t="s">
        <v>224</v>
      </c>
      <c r="F8" s="171"/>
      <c r="G8" s="171" t="s">
        <v>242</v>
      </c>
      <c r="H8" s="172"/>
      <c r="I8" s="1"/>
    </row>
    <row r="9" spans="1:9" ht="26.25" customHeight="1" x14ac:dyDescent="0.25">
      <c r="A9" s="1"/>
      <c r="B9" s="28" t="s">
        <v>117</v>
      </c>
      <c r="C9" s="7">
        <f>'Fane 2.2. Økonomisk ramme 2025'!C14</f>
        <v>90900883.863306761</v>
      </c>
      <c r="D9" s="8" t="s">
        <v>3</v>
      </c>
      <c r="E9" s="7">
        <f>'Fane 2.2. Økonomisk ramme 2025'!E14</f>
        <v>87544136.933094874</v>
      </c>
      <c r="F9" s="8" t="s">
        <v>3</v>
      </c>
      <c r="G9" s="7">
        <f>'Fane 2.2. Økonomisk ramme 2025'!G14</f>
        <v>178445020.79640159</v>
      </c>
      <c r="H9" s="8" t="s">
        <v>3</v>
      </c>
      <c r="I9" s="1"/>
    </row>
    <row r="10" spans="1:9" ht="15" customHeight="1" x14ac:dyDescent="0.25">
      <c r="A10" s="1"/>
      <c r="B10" s="25" t="s">
        <v>19</v>
      </c>
      <c r="C10" s="7">
        <f>SUM(C9:C9)*'Fane 15. Nøgletal'!C16</f>
        <v>7344791.4161551856</v>
      </c>
      <c r="D10" s="8" t="s">
        <v>3</v>
      </c>
      <c r="E10" s="7">
        <f>SUM(E9:E9)*'Fane 15. Nøgletal'!C16</f>
        <v>7073566.2641940657</v>
      </c>
      <c r="F10" s="8" t="s">
        <v>3</v>
      </c>
      <c r="G10" s="7">
        <f>C10+E10</f>
        <v>14418357.680349251</v>
      </c>
      <c r="H10" s="8" t="s">
        <v>3</v>
      </c>
      <c r="I10" s="1"/>
    </row>
    <row r="11" spans="1:9" ht="15" customHeight="1" x14ac:dyDescent="0.25">
      <c r="A11" s="1"/>
      <c r="B11" s="25" t="s">
        <v>10</v>
      </c>
      <c r="C11" s="9">
        <f>-SUM(C9:C10)*'Fane 5. Individuelt eff. krav'!G9</f>
        <v>0</v>
      </c>
      <c r="D11" s="8" t="s">
        <v>3</v>
      </c>
      <c r="E11" s="9">
        <f>-SUM(E9:E10)*'Fane 5. Individuelt eff. krav'!G14</f>
        <v>-729241.24540958146</v>
      </c>
      <c r="F11" s="8" t="s">
        <v>3</v>
      </c>
      <c r="G11" s="9">
        <f>C11+E11</f>
        <v>-729241.24540958146</v>
      </c>
      <c r="H11" s="8" t="s">
        <v>3</v>
      </c>
      <c r="I11" s="1"/>
    </row>
    <row r="12" spans="1:9" ht="15" customHeight="1" x14ac:dyDescent="0.25">
      <c r="A12" s="1"/>
      <c r="B12" s="25" t="s">
        <v>24</v>
      </c>
      <c r="C12" s="9">
        <f>-'Fane 4.1. Gen. krav - drift'!C70</f>
        <v>-691169.69159420219</v>
      </c>
      <c r="D12" s="8" t="s">
        <v>3</v>
      </c>
      <c r="E12" s="9">
        <f>-'Fane 4.1. Gen. krav - drift'!E70</f>
        <v>-672989.03666780761</v>
      </c>
      <c r="F12" s="8" t="s">
        <v>3</v>
      </c>
      <c r="G12" s="9">
        <f>C12+E12</f>
        <v>-1364158.7282620098</v>
      </c>
      <c r="H12" s="8" t="s">
        <v>3</v>
      </c>
      <c r="I12" s="1"/>
    </row>
    <row r="13" spans="1:9" ht="15" customHeight="1" x14ac:dyDescent="0.25">
      <c r="A13" s="1"/>
      <c r="B13" s="25" t="s">
        <v>25</v>
      </c>
      <c r="C13" s="9">
        <f>-'Fane 4.2. Gen. krav - anlæg'!C28</f>
        <v>0</v>
      </c>
      <c r="D13" s="8" t="s">
        <v>3</v>
      </c>
      <c r="E13" s="9">
        <f>-'Fane 4.2. Gen. krav - anlæg'!I50</f>
        <v>0</v>
      </c>
      <c r="F13" s="8" t="s">
        <v>3</v>
      </c>
      <c r="G13" s="9">
        <f>-'Fane 4.2. Gen. krav - anlæg'!K50</f>
        <v>0</v>
      </c>
      <c r="H13" s="8" t="s">
        <v>3</v>
      </c>
      <c r="I13" s="1"/>
    </row>
    <row r="14" spans="1:9" ht="15" customHeight="1" x14ac:dyDescent="0.25">
      <c r="A14" s="1"/>
      <c r="B14" s="30" t="s">
        <v>21</v>
      </c>
      <c r="C14" s="10">
        <f>SUM(C9:C13)</f>
        <v>97554505.587867752</v>
      </c>
      <c r="D14" s="11" t="s">
        <v>3</v>
      </c>
      <c r="E14" s="10">
        <f t="shared" ref="E14" si="0">SUM(E9:E13)</f>
        <v>93215472.915211558</v>
      </c>
      <c r="F14" s="11" t="s">
        <v>3</v>
      </c>
      <c r="G14" s="10">
        <f t="shared" ref="G14" si="1">SUM(G9:G13)</f>
        <v>190769978.50307927</v>
      </c>
      <c r="H14" s="11" t="s">
        <v>3</v>
      </c>
      <c r="I14" s="1"/>
    </row>
    <row r="15" spans="1:9" x14ac:dyDescent="0.25">
      <c r="A15" s="1"/>
      <c r="B15" s="20" t="s">
        <v>12</v>
      </c>
      <c r="C15" s="27"/>
      <c r="D15" s="19"/>
      <c r="E15" s="27"/>
      <c r="F15" s="19"/>
      <c r="G15" s="27"/>
      <c r="H15" s="19"/>
      <c r="I15" s="1"/>
    </row>
    <row r="16" spans="1:9" ht="15" customHeight="1" x14ac:dyDescent="0.25">
      <c r="A16" s="1"/>
      <c r="B16" s="30" t="s">
        <v>12</v>
      </c>
      <c r="C16" s="10">
        <f>'Fane 6. Ikke-påvirkelige omk.'!C17*(1+'Fane 15. Nøgletal'!$C$16)^2+'Fane 6. Ikke-påvirkelige omk.'!C21+'Fane 6. Ikke-påvirkelige omk.'!C29</f>
        <v>5816730.0539284907</v>
      </c>
      <c r="D16" s="11" t="s">
        <v>3</v>
      </c>
      <c r="E16" s="10">
        <f>'Fane 6. Ikke-påvirkelige omk.'!E17*(1+'Fane 15. Nøgletal'!$C$16)^2+'Fane 6. Ikke-påvirkelige omk.'!E21+'Fane 6. Ikke-påvirkelige omk.'!E35</f>
        <v>7575506.0971515663</v>
      </c>
      <c r="F16" s="11" t="s">
        <v>3</v>
      </c>
      <c r="G16" s="10">
        <f>'Fane 6. Ikke-påvirkelige omk.'!G17*(1+'Fane 15. Nøgletal'!$C$16)^2+'Fane 6. Ikke-påvirkelige omk.'!G21+'Fane 6. Ikke-påvirkelige omk.'!G29</f>
        <v>8188163.4153916873</v>
      </c>
      <c r="H16" s="11" t="s">
        <v>3</v>
      </c>
      <c r="I16" s="1"/>
    </row>
    <row r="17" spans="1:9" ht="15" customHeight="1" x14ac:dyDescent="0.25">
      <c r="A17" s="1"/>
      <c r="B17" s="20" t="s">
        <v>82</v>
      </c>
      <c r="C17" s="27"/>
      <c r="D17" s="19"/>
      <c r="E17" s="27"/>
      <c r="F17" s="19"/>
      <c r="G17" s="27"/>
      <c r="H17" s="19"/>
      <c r="I17" s="1"/>
    </row>
    <row r="18" spans="1:9" ht="15" customHeight="1" x14ac:dyDescent="0.25">
      <c r="A18" s="1"/>
      <c r="B18" s="105" t="s">
        <v>82</v>
      </c>
      <c r="C18" s="10">
        <v>0</v>
      </c>
      <c r="D18" s="11" t="s">
        <v>3</v>
      </c>
      <c r="E18" s="10">
        <v>0</v>
      </c>
      <c r="F18" s="11" t="s">
        <v>3</v>
      </c>
      <c r="G18" s="10">
        <v>0</v>
      </c>
      <c r="H18" s="11" t="s">
        <v>3</v>
      </c>
      <c r="I18" s="1"/>
    </row>
    <row r="19" spans="1:9" x14ac:dyDescent="0.25">
      <c r="A19" s="1"/>
      <c r="B19" s="32" t="s">
        <v>127</v>
      </c>
      <c r="C19" s="27"/>
      <c r="D19" s="19"/>
      <c r="E19" s="27"/>
      <c r="F19" s="19"/>
      <c r="G19" s="27"/>
      <c r="H19" s="19"/>
      <c r="I19" s="1"/>
    </row>
    <row r="20" spans="1:9" ht="26.25" customHeight="1" x14ac:dyDescent="0.25">
      <c r="A20" s="1"/>
      <c r="B20" s="30" t="s">
        <v>156</v>
      </c>
      <c r="C20" s="10">
        <v>0</v>
      </c>
      <c r="D20" s="11" t="s">
        <v>3</v>
      </c>
      <c r="E20" s="10">
        <v>0</v>
      </c>
      <c r="F20" s="11" t="s">
        <v>3</v>
      </c>
      <c r="G20" s="10">
        <v>0</v>
      </c>
      <c r="H20" s="11" t="s">
        <v>3</v>
      </c>
      <c r="I20" s="1"/>
    </row>
    <row r="21" spans="1:9" ht="26.25" customHeight="1" x14ac:dyDescent="0.25">
      <c r="A21" s="1"/>
      <c r="B21" s="20" t="s">
        <v>151</v>
      </c>
      <c r="C21" s="27"/>
      <c r="D21" s="19"/>
      <c r="E21" s="27"/>
      <c r="F21" s="19"/>
      <c r="G21" s="27"/>
      <c r="H21" s="19"/>
      <c r="I21" s="1"/>
    </row>
    <row r="22" spans="1:9" ht="26.25" customHeight="1" x14ac:dyDescent="0.25">
      <c r="A22" s="1"/>
      <c r="B22" s="115" t="s">
        <v>152</v>
      </c>
      <c r="C22" s="118">
        <v>0</v>
      </c>
      <c r="D22" s="11" t="s">
        <v>3</v>
      </c>
      <c r="E22" s="118">
        <v>0</v>
      </c>
      <c r="F22" s="11" t="s">
        <v>3</v>
      </c>
      <c r="G22" s="118">
        <v>0</v>
      </c>
      <c r="H22" s="11" t="s">
        <v>3</v>
      </c>
      <c r="I22" s="1"/>
    </row>
    <row r="23" spans="1:9" x14ac:dyDescent="0.25">
      <c r="A23" s="1"/>
      <c r="B23" s="32" t="s">
        <v>118</v>
      </c>
      <c r="C23" s="46">
        <f>SUM(C14,C16,G18,G20,G22)</f>
        <v>103371235.64179625</v>
      </c>
      <c r="D23" s="29" t="s">
        <v>3</v>
      </c>
      <c r="E23" s="46">
        <f t="shared" ref="E23" si="2">SUM(E14,E16,I18,I20,I22)</f>
        <v>100790979.01236312</v>
      </c>
      <c r="F23" s="29" t="s">
        <v>3</v>
      </c>
      <c r="G23" s="46">
        <f t="shared" ref="G23" si="3">SUM(G14,G16,K18,K20,K22)</f>
        <v>198958141.91847095</v>
      </c>
      <c r="H23" s="29" t="s">
        <v>3</v>
      </c>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PWdnFveTXokgo+5VhWxnjQ9LL1Pl6yNBsRbIBapsFBvvDpA8fjPR8XaKIlTkaPW48Oa0Jyrb8J9oWuIEqOP+tQ==" saltValue="AsRBzmuRBfA5EJClFiwp6w==" spinCount="100000" sheet="1" objects="1" scenarios="1"/>
  <mergeCells count="5">
    <mergeCell ref="B3:H4"/>
    <mergeCell ref="B5:H5"/>
    <mergeCell ref="C8:D8"/>
    <mergeCell ref="E8:F8"/>
    <mergeCell ref="G8:H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51FB-65AC-402C-8803-0023788F6C74}">
  <dimension ref="A1:I45"/>
  <sheetViews>
    <sheetView showGridLines="0" view="pageLayout" zoomScaleNormal="100" workbookViewId="0">
      <selection activeCell="G17" sqref="G17"/>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73" t="s">
        <v>311</v>
      </c>
      <c r="C3" s="173"/>
      <c r="D3" s="173"/>
      <c r="E3" s="173"/>
      <c r="F3" s="173"/>
      <c r="G3" s="173"/>
      <c r="H3" s="173"/>
      <c r="I3" s="1"/>
    </row>
    <row r="4" spans="1:9" ht="15" customHeight="1" x14ac:dyDescent="0.25">
      <c r="A4" s="1"/>
      <c r="B4" s="173"/>
      <c r="C4" s="173"/>
      <c r="D4" s="173"/>
      <c r="E4" s="173"/>
      <c r="F4" s="173"/>
      <c r="G4" s="173"/>
      <c r="H4" s="173"/>
      <c r="I4" s="1"/>
    </row>
    <row r="5" spans="1:9" x14ac:dyDescent="0.25">
      <c r="A5" s="1"/>
      <c r="B5" s="174" t="s">
        <v>22</v>
      </c>
      <c r="C5" s="174"/>
      <c r="D5" s="174"/>
      <c r="E5" s="174"/>
      <c r="F5" s="174"/>
      <c r="G5" s="174"/>
      <c r="H5" s="174"/>
      <c r="I5" s="1"/>
    </row>
    <row r="6" spans="1:9" x14ac:dyDescent="0.25">
      <c r="A6" s="1"/>
      <c r="B6" s="1"/>
      <c r="C6" s="1"/>
      <c r="D6" s="1"/>
      <c r="E6" s="1"/>
      <c r="F6" s="1"/>
      <c r="G6" s="1"/>
      <c r="H6" s="1"/>
      <c r="I6" s="1"/>
    </row>
    <row r="7" spans="1:9" x14ac:dyDescent="0.25">
      <c r="A7" s="1"/>
      <c r="B7" s="1"/>
      <c r="C7" s="1"/>
      <c r="D7" s="1"/>
      <c r="E7" s="1"/>
      <c r="F7" s="1"/>
      <c r="G7" s="1"/>
      <c r="H7" s="1"/>
      <c r="I7" s="1"/>
    </row>
    <row r="8" spans="1:9" ht="26.25" customHeight="1" x14ac:dyDescent="0.25">
      <c r="A8" s="1"/>
      <c r="B8" s="20" t="s">
        <v>13</v>
      </c>
      <c r="C8" s="171" t="s">
        <v>223</v>
      </c>
      <c r="D8" s="171"/>
      <c r="E8" s="171" t="s">
        <v>224</v>
      </c>
      <c r="F8" s="171"/>
      <c r="G8" s="171" t="s">
        <v>242</v>
      </c>
      <c r="H8" s="172"/>
      <c r="I8" s="1"/>
    </row>
    <row r="9" spans="1:9" ht="26.25" customHeight="1" x14ac:dyDescent="0.25">
      <c r="A9" s="1"/>
      <c r="B9" s="28" t="s">
        <v>117</v>
      </c>
      <c r="C9" s="7">
        <f>'Fane 2.3. Økonomisk ramme 2026'!C14</f>
        <v>97554505.587867752</v>
      </c>
      <c r="D9" s="8" t="s">
        <v>3</v>
      </c>
      <c r="E9" s="7">
        <f>'Fane 2.3. Økonomisk ramme 2026'!E14</f>
        <v>93215472.915211558</v>
      </c>
      <c r="F9" s="8" t="s">
        <v>3</v>
      </c>
      <c r="G9" s="7">
        <f>'Fane 2.3. Økonomisk ramme 2026'!G14</f>
        <v>190769978.50307927</v>
      </c>
      <c r="H9" s="8" t="s">
        <v>3</v>
      </c>
      <c r="I9" s="1"/>
    </row>
    <row r="10" spans="1:9" ht="15" customHeight="1" x14ac:dyDescent="0.25">
      <c r="A10" s="1"/>
      <c r="B10" s="25" t="s">
        <v>19</v>
      </c>
      <c r="C10" s="7">
        <f>SUM(C9:C9)*'Fane 15. Nøgletal'!C16</f>
        <v>7882404.0514997141</v>
      </c>
      <c r="D10" s="8" t="s">
        <v>3</v>
      </c>
      <c r="E10" s="7">
        <f>SUM(E9:E9)*'Fane 15. Nøgletal'!C16</f>
        <v>7531810.2115490939</v>
      </c>
      <c r="F10" s="8" t="s">
        <v>3</v>
      </c>
      <c r="G10" s="7">
        <f>SUM(G9:G9)*'Fane 15. Nøgletal'!C16</f>
        <v>15414214.263048803</v>
      </c>
      <c r="H10" s="8" t="s">
        <v>3</v>
      </c>
      <c r="I10" s="1"/>
    </row>
    <row r="11" spans="1:9" ht="15" customHeight="1" x14ac:dyDescent="0.25">
      <c r="A11" s="1"/>
      <c r="B11" s="25" t="s">
        <v>10</v>
      </c>
      <c r="C11" s="9">
        <f>-SUM(C9:C10)*'Fane 5. Individuelt eff. krav'!G9</f>
        <v>0</v>
      </c>
      <c r="D11" s="8" t="s">
        <v>3</v>
      </c>
      <c r="E11" s="9">
        <f>-SUM(E9:E10)*'Fane 5. Individuelt eff. krav'!G14</f>
        <v>-776483.38245749904</v>
      </c>
      <c r="F11" s="8" t="s">
        <v>3</v>
      </c>
      <c r="G11" s="9">
        <f>C11+E11</f>
        <v>-776483.38245749904</v>
      </c>
      <c r="H11" s="8" t="s">
        <v>3</v>
      </c>
      <c r="I11" s="1"/>
    </row>
    <row r="12" spans="1:9" ht="15" customHeight="1" x14ac:dyDescent="0.25">
      <c r="A12" s="1"/>
      <c r="B12" s="25" t="s">
        <v>24</v>
      </c>
      <c r="C12" s="9">
        <f>-'Fane 4.1. Gen. krav - drift'!C75</f>
        <v>-732075.87862151337</v>
      </c>
      <c r="D12" s="8" t="s">
        <v>3</v>
      </c>
      <c r="E12" s="9">
        <f>-'Fane 4.1. Gen. krav - drift'!E75</f>
        <v>-712819.21981395502</v>
      </c>
      <c r="F12" s="8" t="s">
        <v>3</v>
      </c>
      <c r="G12" s="9">
        <f>C12+E12</f>
        <v>-1444895.0984354685</v>
      </c>
      <c r="H12" s="8" t="s">
        <v>3</v>
      </c>
      <c r="I12" s="1"/>
    </row>
    <row r="13" spans="1:9" ht="15" customHeight="1" x14ac:dyDescent="0.25">
      <c r="A13" s="1"/>
      <c r="B13" s="25" t="s">
        <v>25</v>
      </c>
      <c r="C13" s="9">
        <f>-'Fane 4.2. Gen. krav - anlæg'!G65</f>
        <v>0</v>
      </c>
      <c r="D13" s="8" t="s">
        <v>3</v>
      </c>
      <c r="E13" s="9">
        <f>-'Fane 4.2. Gen. krav - anlæg'!I50</f>
        <v>0</v>
      </c>
      <c r="F13" s="8" t="s">
        <v>3</v>
      </c>
      <c r="G13" s="9">
        <f>-'Fane 4.2. Gen. krav - anlæg'!K50</f>
        <v>0</v>
      </c>
      <c r="H13" s="8" t="s">
        <v>3</v>
      </c>
      <c r="I13" s="1"/>
    </row>
    <row r="14" spans="1:9" ht="15" customHeight="1" x14ac:dyDescent="0.25">
      <c r="A14" s="1"/>
      <c r="B14" s="30" t="s">
        <v>21</v>
      </c>
      <c r="C14" s="10">
        <f>SUM(C9:C13)</f>
        <v>104704833.76074594</v>
      </c>
      <c r="D14" s="11" t="s">
        <v>3</v>
      </c>
      <c r="E14" s="10">
        <f t="shared" ref="E14" si="0">SUM(E9:E13)</f>
        <v>99257980.524489194</v>
      </c>
      <c r="F14" s="11" t="s">
        <v>3</v>
      </c>
      <c r="G14" s="10">
        <f t="shared" ref="G14" si="1">SUM(G9:G13)</f>
        <v>203962814.28523511</v>
      </c>
      <c r="H14" s="11" t="s">
        <v>3</v>
      </c>
      <c r="I14" s="1"/>
    </row>
    <row r="15" spans="1:9" x14ac:dyDescent="0.25">
      <c r="A15" s="1"/>
      <c r="B15" s="20" t="s">
        <v>12</v>
      </c>
      <c r="C15" s="27"/>
      <c r="D15" s="19"/>
      <c r="E15" s="27"/>
      <c r="F15" s="19"/>
      <c r="G15" s="27"/>
      <c r="H15" s="19"/>
      <c r="I15" s="1"/>
    </row>
    <row r="16" spans="1:9" ht="15" customHeight="1" x14ac:dyDescent="0.25">
      <c r="A16" s="1"/>
      <c r="B16" s="30" t="s">
        <v>12</v>
      </c>
      <c r="C16" s="10">
        <f>'Fane 6. Ikke-påvirkelige omk.'!C17*(1+'Fane 15. Nøgletal'!$C$16)^3+'Fane 6. Ikke-påvirkelige omk.'!C21+'Fane 6. Ikke-påvirkelige omk.'!C30</f>
        <v>6286721.8422859125</v>
      </c>
      <c r="D16" s="11" t="s">
        <v>3</v>
      </c>
      <c r="E16" s="10">
        <f>'Fane 6. Ikke-påvirkelige omk.'!E17*(1+'Fane 15. Nøgletal'!$C$16)^3+'Fane 6. Ikke-påvirkelige omk.'!E21+'Fane 6. Ikke-påvirkelige omk.'!E29</f>
        <v>8187606.9898014124</v>
      </c>
      <c r="F16" s="11" t="s">
        <v>3</v>
      </c>
      <c r="G16" s="10">
        <f>'Fane 6. Ikke-påvirkelige omk.'!G17*(1+'Fane 15. Nøgletal'!$C$16)^3+'Fane 6. Ikke-påvirkelige omk.'!G21+'Fane 6. Ikke-påvirkelige omk.'!G29</f>
        <v>8849767.0193553362</v>
      </c>
      <c r="H16" s="11" t="s">
        <v>3</v>
      </c>
      <c r="I16" s="1"/>
    </row>
    <row r="17" spans="1:9" ht="15" customHeight="1" x14ac:dyDescent="0.25">
      <c r="A17" s="1"/>
      <c r="B17" s="20" t="s">
        <v>82</v>
      </c>
      <c r="C17" s="27"/>
      <c r="D17" s="19"/>
      <c r="E17" s="27"/>
      <c r="F17" s="19"/>
      <c r="G17" s="27"/>
      <c r="H17" s="19"/>
      <c r="I17" s="1"/>
    </row>
    <row r="18" spans="1:9" ht="15" customHeight="1" x14ac:dyDescent="0.25">
      <c r="A18" s="1"/>
      <c r="B18" s="105" t="s">
        <v>82</v>
      </c>
      <c r="C18" s="10">
        <v>0</v>
      </c>
      <c r="D18" s="11" t="s">
        <v>3</v>
      </c>
      <c r="E18" s="10">
        <v>0</v>
      </c>
      <c r="F18" s="11" t="s">
        <v>3</v>
      </c>
      <c r="G18" s="10">
        <v>0</v>
      </c>
      <c r="H18" s="11" t="s">
        <v>3</v>
      </c>
      <c r="I18" s="1"/>
    </row>
    <row r="19" spans="1:9" x14ac:dyDescent="0.25">
      <c r="A19" s="1"/>
      <c r="B19" s="32" t="s">
        <v>127</v>
      </c>
      <c r="C19" s="27"/>
      <c r="D19" s="19"/>
      <c r="E19" s="27"/>
      <c r="F19" s="19"/>
      <c r="G19" s="27"/>
      <c r="H19" s="19"/>
      <c r="I19" s="1"/>
    </row>
    <row r="20" spans="1:9" ht="26.25" customHeight="1" x14ac:dyDescent="0.25">
      <c r="A20" s="1"/>
      <c r="B20" s="30" t="s">
        <v>156</v>
      </c>
      <c r="C20" s="10">
        <v>0</v>
      </c>
      <c r="D20" s="11" t="s">
        <v>3</v>
      </c>
      <c r="E20" s="10">
        <v>0</v>
      </c>
      <c r="F20" s="11" t="s">
        <v>3</v>
      </c>
      <c r="G20" s="10">
        <v>0</v>
      </c>
      <c r="H20" s="11" t="s">
        <v>3</v>
      </c>
      <c r="I20" s="1"/>
    </row>
    <row r="21" spans="1:9" ht="26.25" customHeight="1" x14ac:dyDescent="0.25">
      <c r="A21" s="1"/>
      <c r="B21" s="20" t="s">
        <v>151</v>
      </c>
      <c r="C21" s="27"/>
      <c r="D21" s="19"/>
      <c r="E21" s="27"/>
      <c r="F21" s="19"/>
      <c r="G21" s="27"/>
      <c r="H21" s="19"/>
      <c r="I21" s="1"/>
    </row>
    <row r="22" spans="1:9" ht="26.25" customHeight="1" x14ac:dyDescent="0.25">
      <c r="A22" s="1"/>
      <c r="B22" s="115" t="s">
        <v>152</v>
      </c>
      <c r="C22" s="118">
        <v>0</v>
      </c>
      <c r="D22" s="11" t="s">
        <v>3</v>
      </c>
      <c r="E22" s="118">
        <v>0</v>
      </c>
      <c r="F22" s="11" t="s">
        <v>3</v>
      </c>
      <c r="G22" s="118">
        <v>0</v>
      </c>
      <c r="H22" s="11" t="s">
        <v>3</v>
      </c>
      <c r="I22" s="1"/>
    </row>
    <row r="23" spans="1:9" x14ac:dyDescent="0.25">
      <c r="A23" s="1"/>
      <c r="B23" s="32" t="s">
        <v>118</v>
      </c>
      <c r="C23" s="46">
        <f>SUM(C14,C16,G18,G20,G22)</f>
        <v>110991555.60303186</v>
      </c>
      <c r="D23" s="29" t="s">
        <v>3</v>
      </c>
      <c r="E23" s="46">
        <f t="shared" ref="E23" si="2">SUM(E14,E16,I18,I20,I22)</f>
        <v>107445587.5142906</v>
      </c>
      <c r="F23" s="29" t="s">
        <v>3</v>
      </c>
      <c r="G23" s="46">
        <f t="shared" ref="G23" si="3">SUM(G14,G16,K18,K20,K22)</f>
        <v>212812581.30459043</v>
      </c>
      <c r="H23" s="29" t="s">
        <v>3</v>
      </c>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chqFrtKWNulQVDOt4x4009R1B6Kwjosmw6isd+8eMmnniOYs7szW+VarxIOgAey356VnAXm/rQgdIH3wOy3xQw==" saltValue="WFOoUQso5TetaYy5QQyNdA==" spinCount="100000" sheet="1" objects="1" scenarios="1"/>
  <mergeCells count="5">
    <mergeCell ref="B3:H4"/>
    <mergeCell ref="B5:H5"/>
    <mergeCell ref="C8:D8"/>
    <mergeCell ref="E8:F8"/>
    <mergeCell ref="G8:H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I53"/>
  <sheetViews>
    <sheetView showGridLines="0" view="pageLayout" topLeftCell="A14" zoomScale="110" zoomScaleNormal="100" zoomScalePageLayoutView="110" workbookViewId="0">
      <selection activeCell="E39" activeCellId="1" sqref="C39 E39"/>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75" t="s">
        <v>246</v>
      </c>
      <c r="C3" s="175"/>
      <c r="D3" s="175"/>
      <c r="E3" s="175"/>
      <c r="F3" s="175"/>
      <c r="G3" s="175"/>
      <c r="H3" s="175"/>
      <c r="I3" s="1"/>
    </row>
    <row r="4" spans="1:9" ht="29.25" customHeight="1" x14ac:dyDescent="0.25">
      <c r="A4" s="1"/>
      <c r="B4" s="175"/>
      <c r="C4" s="175"/>
      <c r="D4" s="175"/>
      <c r="E4" s="175"/>
      <c r="F4" s="175"/>
      <c r="G4" s="175"/>
      <c r="H4" s="17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ht="26.25" x14ac:dyDescent="0.25">
      <c r="A8" s="1"/>
      <c r="B8" s="20" t="s">
        <v>248</v>
      </c>
      <c r="C8" s="171" t="s">
        <v>223</v>
      </c>
      <c r="D8" s="171"/>
      <c r="E8" s="171" t="s">
        <v>224</v>
      </c>
      <c r="F8" s="171"/>
      <c r="G8" s="171" t="s">
        <v>242</v>
      </c>
      <c r="H8" s="172"/>
      <c r="I8" s="1"/>
    </row>
    <row r="9" spans="1:9" ht="26.25" customHeight="1" x14ac:dyDescent="0.25">
      <c r="A9" s="1"/>
      <c r="B9" s="28" t="s">
        <v>116</v>
      </c>
      <c r="C9" s="92">
        <v>76671306.82519646</v>
      </c>
      <c r="D9" s="102" t="s">
        <v>3</v>
      </c>
      <c r="E9" s="7">
        <v>74264116.435423702</v>
      </c>
      <c r="F9" s="102" t="s">
        <v>3</v>
      </c>
      <c r="G9" s="7">
        <v>150935423.26062018</v>
      </c>
      <c r="H9" s="109" t="s">
        <v>3</v>
      </c>
      <c r="I9" s="1"/>
    </row>
    <row r="10" spans="1:9" ht="15" customHeight="1" x14ac:dyDescent="0.25">
      <c r="A10" s="1"/>
      <c r="B10" s="25" t="s">
        <v>39</v>
      </c>
      <c r="C10" s="7">
        <v>0</v>
      </c>
      <c r="D10" s="110" t="s">
        <v>3</v>
      </c>
      <c r="E10" s="7">
        <v>2665444.8852000004</v>
      </c>
      <c r="F10" s="110" t="s">
        <v>3</v>
      </c>
      <c r="G10" s="7">
        <v>2665444.8852000004</v>
      </c>
      <c r="H10" s="111" t="s">
        <v>3</v>
      </c>
      <c r="I10" s="1"/>
    </row>
    <row r="11" spans="1:9" ht="15" customHeight="1" x14ac:dyDescent="0.25">
      <c r="A11" s="1"/>
      <c r="B11" s="25" t="s">
        <v>40</v>
      </c>
      <c r="C11" s="9">
        <v>0</v>
      </c>
      <c r="D11" s="110" t="s">
        <v>3</v>
      </c>
      <c r="E11" s="9">
        <v>1322466.378</v>
      </c>
      <c r="F11" s="110" t="s">
        <v>3</v>
      </c>
      <c r="G11" s="7">
        <v>1322466.378</v>
      </c>
      <c r="H11" s="111" t="s">
        <v>3</v>
      </c>
      <c r="I11" s="1"/>
    </row>
    <row r="12" spans="1:9" ht="15" customHeight="1" x14ac:dyDescent="0.25">
      <c r="A12" s="1"/>
      <c r="B12" s="25" t="s">
        <v>27</v>
      </c>
      <c r="C12" s="9">
        <v>0</v>
      </c>
      <c r="D12" s="110" t="s">
        <v>3</v>
      </c>
      <c r="E12" s="9">
        <v>0</v>
      </c>
      <c r="F12" s="110" t="s">
        <v>3</v>
      </c>
      <c r="G12" s="7">
        <v>0</v>
      </c>
      <c r="H12" s="111" t="s">
        <v>3</v>
      </c>
      <c r="I12" s="1"/>
    </row>
    <row r="13" spans="1:9" ht="15" customHeight="1" x14ac:dyDescent="0.25">
      <c r="A13" s="1"/>
      <c r="B13" s="28" t="s">
        <v>26</v>
      </c>
      <c r="C13" s="9">
        <v>0</v>
      </c>
      <c r="D13" s="102" t="s">
        <v>3</v>
      </c>
      <c r="E13" s="9">
        <v>0</v>
      </c>
      <c r="F13" s="102" t="s">
        <v>3</v>
      </c>
      <c r="G13" s="7">
        <v>0</v>
      </c>
      <c r="H13" s="109" t="s">
        <v>3</v>
      </c>
      <c r="I13" s="1"/>
    </row>
    <row r="14" spans="1:9" ht="15" customHeight="1" x14ac:dyDescent="0.25">
      <c r="A14" s="1"/>
      <c r="B14" s="28" t="s">
        <v>29</v>
      </c>
      <c r="C14" s="9">
        <v>0</v>
      </c>
      <c r="D14" s="102" t="s">
        <v>3</v>
      </c>
      <c r="E14" s="9">
        <v>0</v>
      </c>
      <c r="F14" s="102" t="s">
        <v>3</v>
      </c>
      <c r="G14" s="7">
        <v>0</v>
      </c>
      <c r="H14" s="109" t="s">
        <v>3</v>
      </c>
      <c r="I14" s="1"/>
    </row>
    <row r="15" spans="1:9" ht="15" customHeight="1" x14ac:dyDescent="0.25">
      <c r="A15" s="1"/>
      <c r="B15" s="28" t="s">
        <v>28</v>
      </c>
      <c r="C15" s="9">
        <v>0</v>
      </c>
      <c r="D15" s="102" t="s">
        <v>3</v>
      </c>
      <c r="E15" s="9">
        <v>0</v>
      </c>
      <c r="F15" s="102" t="s">
        <v>3</v>
      </c>
      <c r="G15" s="7">
        <v>0</v>
      </c>
      <c r="H15" s="109" t="s">
        <v>3</v>
      </c>
      <c r="I15" s="1"/>
    </row>
    <row r="16" spans="1:9" ht="15" customHeight="1" x14ac:dyDescent="0.25">
      <c r="A16" s="1"/>
      <c r="B16" s="28" t="s">
        <v>19</v>
      </c>
      <c r="C16" s="43">
        <v>253015.31252314831</v>
      </c>
      <c r="D16" s="102" t="s">
        <v>3</v>
      </c>
      <c r="E16" s="9">
        <v>387041.2252068182</v>
      </c>
      <c r="F16" s="102" t="s">
        <v>3</v>
      </c>
      <c r="G16" s="7">
        <v>640056.53772996645</v>
      </c>
      <c r="H16" s="109" t="s">
        <v>3</v>
      </c>
      <c r="I16" s="1"/>
    </row>
    <row r="17" spans="1:9" ht="15" customHeight="1" x14ac:dyDescent="0.25">
      <c r="A17" s="1"/>
      <c r="B17" s="28" t="s">
        <v>10</v>
      </c>
      <c r="C17" s="43">
        <v>-760365.11084441934</v>
      </c>
      <c r="D17" s="102" t="s">
        <v>3</v>
      </c>
      <c r="E17" s="9">
        <v>-809567.64280907752</v>
      </c>
      <c r="F17" s="102" t="s">
        <v>3</v>
      </c>
      <c r="G17" s="7">
        <v>-1569932.753653497</v>
      </c>
      <c r="H17" s="109" t="s">
        <v>3</v>
      </c>
      <c r="I17" s="1"/>
    </row>
    <row r="18" spans="1:9" ht="15" customHeight="1" x14ac:dyDescent="0.25">
      <c r="A18" s="1"/>
      <c r="B18" s="28" t="s">
        <v>24</v>
      </c>
      <c r="C18" s="43">
        <v>-498376.11059621471</v>
      </c>
      <c r="D18" s="102" t="s">
        <v>3</v>
      </c>
      <c r="E18" s="9">
        <v>-555476.64919667295</v>
      </c>
      <c r="F18" s="102" t="s">
        <v>3</v>
      </c>
      <c r="G18" s="7">
        <v>-1053852.7597928876</v>
      </c>
      <c r="H18" s="109" t="s">
        <v>3</v>
      </c>
      <c r="I18" s="1"/>
    </row>
    <row r="19" spans="1:9" ht="15" customHeight="1" x14ac:dyDescent="0.25">
      <c r="A19" s="1"/>
      <c r="B19" s="28" t="s">
        <v>25</v>
      </c>
      <c r="C19" s="43">
        <v>-800388.70961199026</v>
      </c>
      <c r="D19" s="102" t="s">
        <v>3</v>
      </c>
      <c r="E19" s="9">
        <v>-822968.41297830269</v>
      </c>
      <c r="F19" s="102" t="s">
        <v>3</v>
      </c>
      <c r="G19" s="7">
        <v>-1623357.1225902929</v>
      </c>
      <c r="H19" s="109" t="s">
        <v>3</v>
      </c>
      <c r="I19" s="1"/>
    </row>
    <row r="20" spans="1:9" ht="15" customHeight="1" x14ac:dyDescent="0.25">
      <c r="A20" s="1"/>
      <c r="B20" s="124" t="s">
        <v>21</v>
      </c>
      <c r="C20" s="120">
        <v>74865192.206666976</v>
      </c>
      <c r="D20" s="125" t="s">
        <v>3</v>
      </c>
      <c r="E20" s="10">
        <v>76451056.21884647</v>
      </c>
      <c r="F20" s="125" t="s">
        <v>3</v>
      </c>
      <c r="G20" s="10">
        <v>151316248.42551345</v>
      </c>
      <c r="H20" s="126" t="s">
        <v>3</v>
      </c>
      <c r="I20" s="1"/>
    </row>
    <row r="21" spans="1:9" ht="15" customHeight="1" x14ac:dyDescent="0.25">
      <c r="A21" s="1"/>
      <c r="B21" s="32" t="s">
        <v>12</v>
      </c>
      <c r="C21" s="27"/>
      <c r="D21" s="27"/>
      <c r="E21" s="27"/>
      <c r="F21" s="27"/>
      <c r="G21" s="27"/>
      <c r="H21" s="19"/>
      <c r="I21" s="1"/>
    </row>
    <row r="22" spans="1:9" s="45" customFormat="1" ht="15" customHeight="1" x14ac:dyDescent="0.25">
      <c r="A22" s="1"/>
      <c r="B22" s="137" t="s">
        <v>241</v>
      </c>
      <c r="C22" s="135">
        <v>4535512.0293674162</v>
      </c>
      <c r="D22" s="136" t="s">
        <v>3</v>
      </c>
      <c r="E22" s="135">
        <v>7408408.6581660444</v>
      </c>
      <c r="F22" s="136" t="s">
        <v>3</v>
      </c>
      <c r="G22" s="135">
        <v>11943920.687533461</v>
      </c>
      <c r="H22" s="8" t="s">
        <v>3</v>
      </c>
      <c r="I22" s="1"/>
    </row>
    <row r="23" spans="1:9" s="45" customFormat="1" ht="15" customHeight="1" x14ac:dyDescent="0.25">
      <c r="A23" s="1"/>
      <c r="B23" s="139" t="s">
        <v>243</v>
      </c>
      <c r="C23" s="9">
        <v>0</v>
      </c>
      <c r="D23" s="136" t="s">
        <v>3</v>
      </c>
      <c r="E23" s="9">
        <v>0</v>
      </c>
      <c r="F23" s="136" t="s">
        <v>3</v>
      </c>
      <c r="G23" s="138">
        <v>4818995.8788052807</v>
      </c>
      <c r="H23" s="136" t="s">
        <v>3</v>
      </c>
      <c r="I23" s="1"/>
    </row>
    <row r="24" spans="1:9" ht="15" customHeight="1" x14ac:dyDescent="0.25">
      <c r="A24" s="1"/>
      <c r="B24" s="30" t="s">
        <v>240</v>
      </c>
      <c r="C24" s="10">
        <v>4535512.0293674162</v>
      </c>
      <c r="D24" s="112" t="s">
        <v>3</v>
      </c>
      <c r="E24" s="10">
        <v>7408408.6581660444</v>
      </c>
      <c r="F24" s="112" t="s">
        <v>3</v>
      </c>
      <c r="G24" s="10">
        <v>7124924.8087281799</v>
      </c>
      <c r="H24" s="31" t="s">
        <v>3</v>
      </c>
      <c r="I24" s="1"/>
    </row>
    <row r="25" spans="1:9" ht="15" customHeight="1" x14ac:dyDescent="0.25">
      <c r="A25" s="1"/>
      <c r="B25" s="32" t="s">
        <v>82</v>
      </c>
      <c r="C25" s="27"/>
      <c r="D25" s="27"/>
      <c r="E25" s="27"/>
      <c r="F25" s="27"/>
      <c r="G25" s="27"/>
      <c r="H25" s="19"/>
      <c r="I25" s="1"/>
    </row>
    <row r="26" spans="1:9" ht="15" customHeight="1" x14ac:dyDescent="0.25">
      <c r="A26" s="1"/>
      <c r="B26" s="105" t="s">
        <v>82</v>
      </c>
      <c r="C26" s="10">
        <v>0</v>
      </c>
      <c r="D26" s="107" t="s">
        <v>3</v>
      </c>
      <c r="E26" s="10">
        <v>0</v>
      </c>
      <c r="F26" s="107" t="s">
        <v>3</v>
      </c>
      <c r="G26" s="10">
        <f>C26+E26</f>
        <v>0</v>
      </c>
      <c r="H26" s="108" t="s">
        <v>3</v>
      </c>
      <c r="I26" s="1"/>
    </row>
    <row r="27" spans="1:9" x14ac:dyDescent="0.25">
      <c r="A27" s="1"/>
      <c r="B27" s="32" t="s">
        <v>81</v>
      </c>
      <c r="C27" s="27"/>
      <c r="D27" s="27"/>
      <c r="E27" s="27"/>
      <c r="F27" s="27"/>
      <c r="G27" s="27"/>
      <c r="H27" s="19"/>
      <c r="I27" s="1"/>
    </row>
    <row r="28" spans="1:9" ht="15" customHeight="1" x14ac:dyDescent="0.25">
      <c r="A28" s="1"/>
      <c r="B28" s="86" t="s">
        <v>77</v>
      </c>
      <c r="C28" s="9">
        <v>0</v>
      </c>
      <c r="D28" s="113" t="s">
        <v>3</v>
      </c>
      <c r="E28" s="9">
        <v>0</v>
      </c>
      <c r="F28" s="113" t="s">
        <v>3</v>
      </c>
      <c r="G28" s="43">
        <f>C28+E28</f>
        <v>0</v>
      </c>
      <c r="H28" s="114" t="s">
        <v>3</v>
      </c>
      <c r="I28" s="1"/>
    </row>
    <row r="29" spans="1:9" ht="15" customHeight="1" x14ac:dyDescent="0.25">
      <c r="A29" s="1"/>
      <c r="B29" s="86" t="s">
        <v>78</v>
      </c>
      <c r="C29" s="9">
        <v>0</v>
      </c>
      <c r="D29" s="113" t="s">
        <v>3</v>
      </c>
      <c r="E29" s="9">
        <v>0</v>
      </c>
      <c r="F29" s="113" t="s">
        <v>3</v>
      </c>
      <c r="G29" s="9">
        <v>0</v>
      </c>
      <c r="H29" s="140" t="s">
        <v>3</v>
      </c>
      <c r="I29" s="1"/>
    </row>
    <row r="30" spans="1:9" ht="15" customHeight="1" x14ac:dyDescent="0.25">
      <c r="A30" s="1"/>
      <c r="B30" s="129" t="s">
        <v>184</v>
      </c>
      <c r="C30" s="9">
        <v>0</v>
      </c>
      <c r="D30" s="113" t="s">
        <v>3</v>
      </c>
      <c r="E30" s="9">
        <v>0</v>
      </c>
      <c r="F30" s="113" t="s">
        <v>3</v>
      </c>
      <c r="G30" s="9">
        <v>0</v>
      </c>
      <c r="H30" s="140" t="s">
        <v>3</v>
      </c>
      <c r="I30" s="1"/>
    </row>
    <row r="31" spans="1:9" ht="15" customHeight="1" x14ac:dyDescent="0.25">
      <c r="A31" s="1"/>
      <c r="B31" s="129" t="s">
        <v>185</v>
      </c>
      <c r="C31" s="9">
        <v>0</v>
      </c>
      <c r="D31" s="113" t="s">
        <v>3</v>
      </c>
      <c r="E31" s="9">
        <v>0</v>
      </c>
      <c r="F31" s="113" t="s">
        <v>3</v>
      </c>
      <c r="G31" s="43">
        <f>C31+E31</f>
        <v>0</v>
      </c>
      <c r="H31" s="114" t="s">
        <v>3</v>
      </c>
      <c r="I31" s="1"/>
    </row>
    <row r="32" spans="1:9" ht="15" customHeight="1" x14ac:dyDescent="0.25">
      <c r="A32" s="1"/>
      <c r="B32" s="26" t="s">
        <v>83</v>
      </c>
      <c r="C32" s="39">
        <v>0</v>
      </c>
      <c r="D32" s="37" t="s">
        <v>3</v>
      </c>
      <c r="E32" s="39">
        <v>0</v>
      </c>
      <c r="F32" s="37" t="s">
        <v>3</v>
      </c>
      <c r="G32" s="10">
        <f>C32+E32</f>
        <v>0</v>
      </c>
      <c r="H32" s="38" t="s">
        <v>3</v>
      </c>
      <c r="I32" s="1"/>
    </row>
    <row r="33" spans="1:9" ht="15" customHeight="1" x14ac:dyDescent="0.25">
      <c r="A33" s="1"/>
      <c r="B33" s="32" t="s">
        <v>127</v>
      </c>
      <c r="C33" s="27"/>
      <c r="D33" s="27"/>
      <c r="E33" s="27"/>
      <c r="F33" s="27"/>
      <c r="G33" s="27"/>
      <c r="H33" s="19"/>
      <c r="I33" s="1"/>
    </row>
    <row r="34" spans="1:9" ht="15" customHeight="1" x14ac:dyDescent="0.25">
      <c r="A34" s="1"/>
      <c r="B34" s="26" t="s">
        <v>156</v>
      </c>
      <c r="C34" s="10">
        <v>0</v>
      </c>
      <c r="D34" s="37" t="s">
        <v>3</v>
      </c>
      <c r="E34" s="10">
        <v>0</v>
      </c>
      <c r="F34" s="37" t="s">
        <v>3</v>
      </c>
      <c r="G34" s="10">
        <f>C34+E34</f>
        <v>0</v>
      </c>
      <c r="H34" s="38" t="s">
        <v>3</v>
      </c>
      <c r="I34" s="1"/>
    </row>
    <row r="35" spans="1:9" x14ac:dyDescent="0.25">
      <c r="A35" s="1"/>
      <c r="B35" s="32" t="s">
        <v>160</v>
      </c>
      <c r="C35" s="27"/>
      <c r="D35" s="27"/>
      <c r="E35" s="27"/>
      <c r="F35" s="27"/>
      <c r="G35" s="27"/>
      <c r="H35" s="19"/>
      <c r="I35" s="1"/>
    </row>
    <row r="36" spans="1:9" ht="15.4" customHeight="1" x14ac:dyDescent="0.25">
      <c r="A36" s="1"/>
      <c r="B36" s="26" t="s">
        <v>160</v>
      </c>
      <c r="C36" s="10">
        <v>0</v>
      </c>
      <c r="D36" s="37" t="s">
        <v>3</v>
      </c>
      <c r="E36" s="10">
        <v>0</v>
      </c>
      <c r="F36" s="37" t="s">
        <v>3</v>
      </c>
      <c r="G36" s="10">
        <f>C36+E36</f>
        <v>0</v>
      </c>
      <c r="H36" s="38" t="s">
        <v>3</v>
      </c>
      <c r="I36" s="1"/>
    </row>
    <row r="37" spans="1:9" ht="15" customHeight="1" x14ac:dyDescent="0.25">
      <c r="A37" s="1"/>
      <c r="B37" s="32" t="s">
        <v>151</v>
      </c>
      <c r="C37" s="27"/>
      <c r="D37" s="27"/>
      <c r="E37" s="27"/>
      <c r="F37" s="27"/>
      <c r="G37" s="27"/>
      <c r="H37" s="19"/>
      <c r="I37" s="1"/>
    </row>
    <row r="38" spans="1:9" ht="26.25" customHeight="1" x14ac:dyDescent="0.25">
      <c r="A38" s="1"/>
      <c r="B38" s="115" t="s">
        <v>152</v>
      </c>
      <c r="C38" s="10">
        <f>'Fane 8. Skattesagen'!G11</f>
        <v>0</v>
      </c>
      <c r="D38" s="78" t="s">
        <v>3</v>
      </c>
      <c r="E38" s="10">
        <v>0</v>
      </c>
      <c r="F38" s="78" t="s">
        <v>3</v>
      </c>
      <c r="G38" s="10">
        <f>C38+E38</f>
        <v>0</v>
      </c>
      <c r="H38" s="78" t="s">
        <v>3</v>
      </c>
      <c r="I38" s="1"/>
    </row>
    <row r="39" spans="1:9" x14ac:dyDescent="0.25">
      <c r="A39" s="1"/>
      <c r="B39" s="32" t="s">
        <v>86</v>
      </c>
      <c r="C39" s="116">
        <v>79400704.236034393</v>
      </c>
      <c r="D39" s="27" t="s">
        <v>3</v>
      </c>
      <c r="E39" s="116">
        <v>83859464.877012521</v>
      </c>
      <c r="F39" s="27" t="s">
        <v>3</v>
      </c>
      <c r="G39" s="116">
        <v>158441173.23424163</v>
      </c>
      <c r="H39" s="19" t="s">
        <v>3</v>
      </c>
      <c r="I39" s="1"/>
    </row>
    <row r="40" spans="1:9" ht="27" customHeight="1" x14ac:dyDescent="0.25">
      <c r="A40" s="1"/>
      <c r="B40" s="176" t="s">
        <v>247</v>
      </c>
      <c r="C40" s="177"/>
      <c r="D40" s="177"/>
      <c r="E40" s="177"/>
      <c r="F40" s="177"/>
      <c r="G40" s="177"/>
      <c r="H40" s="178"/>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45"/>
      <c r="B50" s="45"/>
      <c r="C50" s="45"/>
      <c r="D50" s="45"/>
      <c r="E50" s="45"/>
      <c r="F50" s="45"/>
      <c r="G50" s="45"/>
      <c r="H50" s="45"/>
      <c r="I50" s="45"/>
    </row>
    <row r="51" spans="1:9" x14ac:dyDescent="0.25">
      <c r="A51" s="45"/>
      <c r="B51" s="45"/>
      <c r="C51" s="45"/>
      <c r="D51" s="45"/>
      <c r="E51" s="45"/>
      <c r="F51" s="45"/>
      <c r="G51" s="45"/>
      <c r="H51" s="45"/>
      <c r="I51" s="45"/>
    </row>
    <row r="52" spans="1:9" x14ac:dyDescent="0.25">
      <c r="A52" s="45"/>
      <c r="B52" s="45"/>
      <c r="C52" s="45"/>
      <c r="D52" s="45"/>
      <c r="E52" s="45"/>
      <c r="F52" s="45"/>
      <c r="G52" s="45"/>
      <c r="H52" s="45"/>
      <c r="I52" s="45"/>
    </row>
    <row r="53" spans="1:9" x14ac:dyDescent="0.25">
      <c r="A53" s="45"/>
      <c r="B53" s="45"/>
      <c r="C53" s="45"/>
      <c r="D53" s="45"/>
      <c r="E53" s="45"/>
      <c r="F53" s="45"/>
      <c r="G53" s="45"/>
      <c r="H53" s="45"/>
      <c r="I53" s="45"/>
    </row>
  </sheetData>
  <sheetProtection algorithmName="SHA-512" hashValue="8JzguvEZ4mO0wRZs8Pv55avNgNV7t8WquXwr3Kdc012RHEnP3sCiweNIYF6m8DbfIV+s2s9K1qBp8vkca35wjw==" saltValue="4RsNlfvryXvyACSA5bB0LA==" spinCount="100000" sheet="1" objects="1" scenarios="1"/>
  <mergeCells count="5">
    <mergeCell ref="B3:H4"/>
    <mergeCell ref="C8:D8"/>
    <mergeCell ref="E8:F8"/>
    <mergeCell ref="G8:H8"/>
    <mergeCell ref="B40:H4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80"/>
  <sheetViews>
    <sheetView showGridLines="0" view="pageLayout" zoomScaleNormal="100" workbookViewId="0">
      <selection activeCell="G5" sqref="G5"/>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75" t="s">
        <v>100</v>
      </c>
      <c r="C2" s="175"/>
      <c r="D2" s="175"/>
      <c r="E2" s="175"/>
      <c r="F2" s="175"/>
      <c r="G2" s="175"/>
      <c r="H2" s="175"/>
      <c r="I2" s="1"/>
    </row>
    <row r="3" spans="1:9" ht="28.5" customHeight="1" x14ac:dyDescent="0.25">
      <c r="A3" s="1"/>
      <c r="B3" s="175"/>
      <c r="C3" s="175"/>
      <c r="D3" s="175"/>
      <c r="E3" s="175"/>
      <c r="F3" s="175"/>
      <c r="G3" s="175"/>
      <c r="H3" s="175"/>
      <c r="I3" s="1"/>
    </row>
    <row r="4" spans="1:9" ht="39" x14ac:dyDescent="0.25">
      <c r="A4" s="1"/>
      <c r="B4" s="20" t="s">
        <v>49</v>
      </c>
      <c r="C4" s="171" t="s">
        <v>223</v>
      </c>
      <c r="D4" s="171"/>
      <c r="E4" s="171" t="s">
        <v>224</v>
      </c>
      <c r="F4" s="171"/>
      <c r="G4" s="171" t="s">
        <v>242</v>
      </c>
      <c r="H4" s="172"/>
      <c r="I4" s="1"/>
    </row>
    <row r="5" spans="1:9" ht="26.25" customHeight="1" x14ac:dyDescent="0.25">
      <c r="A5" s="1"/>
      <c r="B5" s="28" t="s">
        <v>41</v>
      </c>
      <c r="C5" s="63">
        <v>26016840</v>
      </c>
      <c r="D5" s="14" t="s">
        <v>3</v>
      </c>
      <c r="E5" s="63">
        <v>26058095.539709698</v>
      </c>
      <c r="F5" s="14" t="s">
        <v>3</v>
      </c>
      <c r="G5" s="63">
        <f>C5+E5</f>
        <v>52074935.539709702</v>
      </c>
      <c r="H5" s="14" t="s">
        <v>3</v>
      </c>
      <c r="I5" s="1"/>
    </row>
    <row r="6" spans="1:9" ht="26.25" customHeight="1" x14ac:dyDescent="0.25">
      <c r="A6" s="1"/>
      <c r="B6" s="28" t="s">
        <v>111</v>
      </c>
      <c r="C6" s="64">
        <v>0</v>
      </c>
      <c r="D6" s="14" t="s">
        <v>3</v>
      </c>
      <c r="E6" s="64">
        <v>0</v>
      </c>
      <c r="F6" s="14" t="s">
        <v>3</v>
      </c>
      <c r="G6" s="63">
        <f>C6+E6</f>
        <v>0</v>
      </c>
      <c r="H6" s="14" t="s">
        <v>3</v>
      </c>
      <c r="I6" s="1"/>
    </row>
    <row r="7" spans="1:9" ht="26.25" customHeight="1" x14ac:dyDescent="0.25">
      <c r="A7" s="1"/>
      <c r="B7" s="28" t="s">
        <v>42</v>
      </c>
      <c r="C7" s="63">
        <f>SUM(C5:C6)*'Fane 15. Nøgletal'!C33</f>
        <v>520336.8</v>
      </c>
      <c r="D7" s="14" t="s">
        <v>3</v>
      </c>
      <c r="E7" s="63">
        <f>SUM(E5:E6)*'Fane 15. Nøgletal'!C33</f>
        <v>521161.91079419397</v>
      </c>
      <c r="F7" s="14" t="s">
        <v>3</v>
      </c>
      <c r="G7" s="63">
        <f>SUM(G5:G6)*'Fane 15. Nøgletal'!C33</f>
        <v>1041498.710794194</v>
      </c>
      <c r="H7" s="14" t="s">
        <v>3</v>
      </c>
      <c r="I7" s="1"/>
    </row>
    <row r="8" spans="1:9" x14ac:dyDescent="0.25">
      <c r="A8" s="1"/>
      <c r="B8" s="20"/>
      <c r="C8" s="27"/>
      <c r="D8" s="27"/>
      <c r="E8" s="27"/>
      <c r="F8" s="27"/>
      <c r="G8" s="65"/>
      <c r="H8" s="19"/>
      <c r="I8" s="1"/>
    </row>
    <row r="9" spans="1:9" x14ac:dyDescent="0.25">
      <c r="A9" s="1"/>
      <c r="B9" s="90"/>
      <c r="C9" s="1"/>
      <c r="D9" s="1"/>
      <c r="E9" s="1"/>
      <c r="F9" s="1"/>
      <c r="G9" s="66"/>
      <c r="H9" s="1"/>
      <c r="I9" s="1"/>
    </row>
    <row r="10" spans="1:9" ht="39" x14ac:dyDescent="0.25">
      <c r="A10" s="1"/>
      <c r="B10" s="20" t="s">
        <v>50</v>
      </c>
      <c r="C10" s="171" t="s">
        <v>223</v>
      </c>
      <c r="D10" s="171"/>
      <c r="E10" s="171" t="s">
        <v>224</v>
      </c>
      <c r="F10" s="171"/>
      <c r="G10" s="171" t="s">
        <v>242</v>
      </c>
      <c r="H10" s="172"/>
      <c r="I10" s="1"/>
    </row>
    <row r="11" spans="1:9" ht="26.25" customHeight="1" x14ac:dyDescent="0.25">
      <c r="A11" s="1"/>
      <c r="B11" s="28" t="s">
        <v>43</v>
      </c>
      <c r="C11" s="63">
        <f>(C5-C7)*(1+'Fane 15. Nøgletal'!C10)</f>
        <v>25942692.006000001</v>
      </c>
      <c r="D11" s="14" t="s">
        <v>3</v>
      </c>
      <c r="E11" s="63">
        <v>25983829.967421528</v>
      </c>
      <c r="F11" s="14" t="s">
        <v>3</v>
      </c>
      <c r="G11" s="63">
        <f>C11+E11</f>
        <v>51926521.973421529</v>
      </c>
      <c r="H11" s="14" t="s">
        <v>3</v>
      </c>
      <c r="I11" s="1"/>
    </row>
    <row r="12" spans="1:9" ht="15" customHeight="1" x14ac:dyDescent="0.25">
      <c r="A12" s="1"/>
      <c r="B12" s="28" t="s">
        <v>112</v>
      </c>
      <c r="C12" s="64">
        <v>-57227.578235559347</v>
      </c>
      <c r="D12" s="14" t="s">
        <v>3</v>
      </c>
      <c r="E12" s="87">
        <v>0</v>
      </c>
      <c r="F12" s="14" t="s">
        <v>3</v>
      </c>
      <c r="G12" s="63">
        <f t="shared" ref="G12:G14" si="0">C12+E12</f>
        <v>-57227.578235559347</v>
      </c>
      <c r="H12" s="14" t="s">
        <v>3</v>
      </c>
      <c r="I12" s="1"/>
    </row>
    <row r="13" spans="1:9" ht="26.25" customHeight="1" x14ac:dyDescent="0.25">
      <c r="A13" s="1"/>
      <c r="B13" s="28" t="s">
        <v>109</v>
      </c>
      <c r="C13" s="64">
        <v>0</v>
      </c>
      <c r="D13" s="14" t="s">
        <v>3</v>
      </c>
      <c r="E13" s="102">
        <v>0</v>
      </c>
      <c r="F13" s="14" t="s">
        <v>3</v>
      </c>
      <c r="G13" s="63">
        <f t="shared" si="0"/>
        <v>0</v>
      </c>
      <c r="H13" s="14" t="s">
        <v>3</v>
      </c>
      <c r="I13" s="1"/>
    </row>
    <row r="14" spans="1:9" ht="26.25" customHeight="1" x14ac:dyDescent="0.25">
      <c r="A14" s="1"/>
      <c r="B14" s="28" t="s">
        <v>249</v>
      </c>
      <c r="C14" s="64">
        <v>0</v>
      </c>
      <c r="D14" s="14" t="s">
        <v>3</v>
      </c>
      <c r="E14" s="87">
        <v>0</v>
      </c>
      <c r="F14" s="14" t="s">
        <v>3</v>
      </c>
      <c r="G14" s="63">
        <f t="shared" si="0"/>
        <v>0</v>
      </c>
      <c r="H14" s="14" t="s">
        <v>3</v>
      </c>
      <c r="I14" s="1"/>
    </row>
    <row r="15" spans="1:9" ht="26.25" customHeight="1" x14ac:dyDescent="0.25">
      <c r="A15" s="1"/>
      <c r="B15" s="28" t="s">
        <v>44</v>
      </c>
      <c r="C15" s="63">
        <f>SUM(C11:C14)*'Fane 15. Nøgletal'!C33</f>
        <v>517709.28855528886</v>
      </c>
      <c r="D15" s="14" t="s">
        <v>3</v>
      </c>
      <c r="E15" s="63">
        <f>SUM(E11:E14)*'Fane 15. Nøgletal'!C33</f>
        <v>519676.59934843058</v>
      </c>
      <c r="F15" s="14" t="s">
        <v>3</v>
      </c>
      <c r="G15" s="63">
        <f>SUM(G11:G14)*'Fane 15. Nøgletal'!$C$33</f>
        <v>1037385.8879037194</v>
      </c>
      <c r="H15" s="14" t="s">
        <v>3</v>
      </c>
      <c r="I15" s="1"/>
    </row>
    <row r="16" spans="1:9" x14ac:dyDescent="0.25">
      <c r="A16" s="1"/>
      <c r="B16" s="20"/>
      <c r="C16" s="27"/>
      <c r="D16" s="27"/>
      <c r="E16" s="27"/>
      <c r="F16" s="27"/>
      <c r="G16" s="65"/>
      <c r="H16" s="19"/>
      <c r="I16" s="1"/>
    </row>
    <row r="17" spans="1:9" x14ac:dyDescent="0.25">
      <c r="A17" s="1"/>
      <c r="B17" s="90"/>
      <c r="C17" s="1"/>
      <c r="D17" s="1"/>
      <c r="E17" s="1"/>
      <c r="F17" s="1"/>
      <c r="G17" s="66"/>
      <c r="H17" s="1"/>
      <c r="I17" s="1"/>
    </row>
    <row r="18" spans="1:9" ht="39" x14ac:dyDescent="0.25">
      <c r="A18" s="1"/>
      <c r="B18" s="20" t="s">
        <v>51</v>
      </c>
      <c r="C18" s="171" t="s">
        <v>223</v>
      </c>
      <c r="D18" s="171"/>
      <c r="E18" s="171" t="s">
        <v>224</v>
      </c>
      <c r="F18" s="171"/>
      <c r="G18" s="171" t="s">
        <v>242</v>
      </c>
      <c r="H18" s="172"/>
      <c r="I18" s="1"/>
    </row>
    <row r="19" spans="1:9" ht="26.25" customHeight="1" x14ac:dyDescent="0.25">
      <c r="A19" s="1"/>
      <c r="B19" s="28" t="s">
        <v>45</v>
      </c>
      <c r="C19" s="63">
        <f>(SUM(C11:C12,C14)-(C15))*(1+'Fane 15. Nøgletal'!C10)</f>
        <v>25811690.854145315</v>
      </c>
      <c r="D19" s="14" t="s">
        <v>3</v>
      </c>
      <c r="E19" s="63">
        <f>(SUM(E11:E12,E14)-(E15))*(1+'Fane 15. Nøgletal'!C10)</f>
        <v>25909776.052014381</v>
      </c>
      <c r="F19" s="14" t="s">
        <v>3</v>
      </c>
      <c r="G19" s="63">
        <f>C19+E19</f>
        <v>51721466.906159699</v>
      </c>
      <c r="H19" s="14" t="s">
        <v>3</v>
      </c>
      <c r="I19" s="1"/>
    </row>
    <row r="20" spans="1:9" ht="26.25" customHeight="1" x14ac:dyDescent="0.25">
      <c r="A20" s="1"/>
      <c r="B20" s="28" t="s">
        <v>250</v>
      </c>
      <c r="C20" s="64">
        <v>0</v>
      </c>
      <c r="D20" s="14" t="s">
        <v>3</v>
      </c>
      <c r="E20" s="87">
        <v>0</v>
      </c>
      <c r="F20" s="14" t="s">
        <v>3</v>
      </c>
      <c r="G20" s="63">
        <f>C20+E20</f>
        <v>0</v>
      </c>
      <c r="H20" s="14" t="s">
        <v>3</v>
      </c>
      <c r="I20" s="1"/>
    </row>
    <row r="21" spans="1:9" ht="26.25" customHeight="1" x14ac:dyDescent="0.25">
      <c r="A21" s="1"/>
      <c r="B21" s="28" t="s">
        <v>46</v>
      </c>
      <c r="C21" s="63">
        <f>SUM(C19:C20)*'Fane 15. Nøgletal'!$C$33</f>
        <v>516233.81708290632</v>
      </c>
      <c r="D21" s="14" t="s">
        <v>3</v>
      </c>
      <c r="E21" s="63">
        <f>SUM(E19:E20)*'Fane 15. Nøgletal'!$C$33</f>
        <v>518195.52104028763</v>
      </c>
      <c r="F21" s="14" t="s">
        <v>3</v>
      </c>
      <c r="G21" s="63">
        <f>SUM(G19:G20)*'Fane 15. Nøgletal'!$C$33</f>
        <v>1034429.3381231941</v>
      </c>
      <c r="H21" s="14" t="s">
        <v>3</v>
      </c>
      <c r="I21" s="1"/>
    </row>
    <row r="22" spans="1:9" x14ac:dyDescent="0.25">
      <c r="A22" s="1"/>
      <c r="B22" s="20"/>
      <c r="C22" s="27"/>
      <c r="D22" s="27"/>
      <c r="E22" s="27"/>
      <c r="F22" s="27"/>
      <c r="G22" s="65"/>
      <c r="H22" s="19"/>
      <c r="I22" s="1"/>
    </row>
    <row r="23" spans="1:9" x14ac:dyDescent="0.25">
      <c r="A23" s="1"/>
      <c r="B23" s="90"/>
      <c r="C23" s="1"/>
      <c r="D23" s="1"/>
      <c r="E23" s="1"/>
      <c r="F23" s="1"/>
      <c r="G23" s="66"/>
      <c r="H23" s="1"/>
      <c r="I23" s="1"/>
    </row>
    <row r="24" spans="1:9" ht="39" x14ac:dyDescent="0.25">
      <c r="A24" s="1"/>
      <c r="B24" s="20" t="s">
        <v>52</v>
      </c>
      <c r="C24" s="171" t="s">
        <v>223</v>
      </c>
      <c r="D24" s="171"/>
      <c r="E24" s="171" t="s">
        <v>224</v>
      </c>
      <c r="F24" s="171"/>
      <c r="G24" s="171" t="s">
        <v>242</v>
      </c>
      <c r="H24" s="172"/>
      <c r="I24" s="1"/>
    </row>
    <row r="25" spans="1:9" ht="26.25" customHeight="1" x14ac:dyDescent="0.25">
      <c r="A25" s="1"/>
      <c r="B25" s="28" t="s">
        <v>47</v>
      </c>
      <c r="C25" s="63">
        <f>(C19+C20-C21)*(1+'Fane 15. Nøgletal'!C12)</f>
        <v>25793777.540692538</v>
      </c>
      <c r="D25" s="14" t="s">
        <v>3</v>
      </c>
      <c r="E25" s="63">
        <f>(E19+E20-E21)*(1+'Fane 15. Nøgletal'!C12)</f>
        <v>25891794.667434286</v>
      </c>
      <c r="F25" s="14" t="s">
        <v>3</v>
      </c>
      <c r="G25" s="63">
        <f>C25+E25</f>
        <v>51685572.208126828</v>
      </c>
      <c r="H25" s="14" t="s">
        <v>3</v>
      </c>
      <c r="I25" s="1"/>
    </row>
    <row r="26" spans="1:9" ht="26.25" customHeight="1" x14ac:dyDescent="0.25">
      <c r="A26" s="1"/>
      <c r="B26" s="28" t="s">
        <v>251</v>
      </c>
      <c r="C26" s="64">
        <v>0</v>
      </c>
      <c r="D26" s="14" t="s">
        <v>3</v>
      </c>
      <c r="E26" s="87">
        <v>0</v>
      </c>
      <c r="F26" s="14" t="s">
        <v>3</v>
      </c>
      <c r="G26" s="63">
        <f>C26+E26</f>
        <v>0</v>
      </c>
      <c r="H26" s="14" t="s">
        <v>3</v>
      </c>
      <c r="I26" s="1"/>
    </row>
    <row r="27" spans="1:9" ht="26.25" customHeight="1" x14ac:dyDescent="0.25">
      <c r="A27" s="1"/>
      <c r="B27" s="28" t="s">
        <v>48</v>
      </c>
      <c r="C27" s="63">
        <f>(C25+C26)*'Fane 15. Nøgletal'!$C$33</f>
        <v>515875.55081385077</v>
      </c>
      <c r="D27" s="14" t="s">
        <v>3</v>
      </c>
      <c r="E27" s="63">
        <f>(E25+E26)*'Fane 15. Nøgletal'!$C$33</f>
        <v>517835.89334868576</v>
      </c>
      <c r="F27" s="14" t="s">
        <v>3</v>
      </c>
      <c r="G27" s="63">
        <f>(G25+G26)*'Fane 15. Nøgletal'!$C$33</f>
        <v>1033711.4441625365</v>
      </c>
      <c r="H27" s="14" t="s">
        <v>3</v>
      </c>
      <c r="I27" s="1"/>
    </row>
    <row r="28" spans="1:9" x14ac:dyDescent="0.25">
      <c r="A28" s="1"/>
      <c r="B28" s="20"/>
      <c r="C28" s="27"/>
      <c r="D28" s="27"/>
      <c r="E28" s="27"/>
      <c r="F28" s="27"/>
      <c r="G28" s="65"/>
      <c r="H28" s="19"/>
      <c r="I28" s="1"/>
    </row>
    <row r="29" spans="1:9" x14ac:dyDescent="0.25">
      <c r="A29" s="1"/>
      <c r="B29" s="90"/>
      <c r="C29" s="1"/>
      <c r="D29" s="1"/>
      <c r="E29" s="1"/>
      <c r="F29" s="1"/>
      <c r="G29" s="66"/>
      <c r="H29" s="1"/>
      <c r="I29" s="1"/>
    </row>
    <row r="30" spans="1:9" x14ac:dyDescent="0.25">
      <c r="A30" s="1"/>
      <c r="B30" s="90"/>
      <c r="C30" s="1"/>
      <c r="D30" s="1"/>
      <c r="E30" s="1"/>
      <c r="F30" s="1"/>
      <c r="G30" s="66"/>
      <c r="H30" s="1"/>
      <c r="I30" s="1"/>
    </row>
    <row r="31" spans="1:9" x14ac:dyDescent="0.25">
      <c r="A31" s="1"/>
      <c r="B31" s="90"/>
      <c r="C31" s="1"/>
      <c r="D31" s="1"/>
      <c r="E31" s="1"/>
      <c r="F31" s="1"/>
      <c r="G31" s="66"/>
      <c r="H31" s="1"/>
      <c r="I31" s="1"/>
    </row>
    <row r="32" spans="1:9" x14ac:dyDescent="0.25">
      <c r="A32" s="1"/>
      <c r="B32" s="90"/>
      <c r="C32" s="1"/>
      <c r="D32" s="1"/>
      <c r="E32" s="1"/>
      <c r="F32" s="1"/>
      <c r="G32" s="66"/>
      <c r="H32" s="1"/>
      <c r="I32" s="1"/>
    </row>
    <row r="33" spans="1:9" x14ac:dyDescent="0.25">
      <c r="A33" s="1"/>
      <c r="B33" s="90"/>
      <c r="C33" s="1"/>
      <c r="D33" s="1"/>
      <c r="E33" s="1"/>
      <c r="F33" s="1"/>
      <c r="G33" s="66"/>
      <c r="H33" s="1"/>
      <c r="I33" s="1"/>
    </row>
    <row r="34" spans="1:9" x14ac:dyDescent="0.25">
      <c r="A34" s="1"/>
      <c r="B34" s="90"/>
      <c r="C34" s="1"/>
      <c r="D34" s="1"/>
      <c r="E34" s="1"/>
      <c r="F34" s="1"/>
      <c r="G34" s="66"/>
      <c r="H34" s="1"/>
      <c r="I34" s="1"/>
    </row>
    <row r="35" spans="1:9" ht="39" x14ac:dyDescent="0.25">
      <c r="A35" s="1"/>
      <c r="B35" s="20" t="s">
        <v>55</v>
      </c>
      <c r="C35" s="171" t="s">
        <v>223</v>
      </c>
      <c r="D35" s="171"/>
      <c r="E35" s="171" t="s">
        <v>224</v>
      </c>
      <c r="F35" s="171"/>
      <c r="G35" s="171" t="s">
        <v>242</v>
      </c>
      <c r="H35" s="172"/>
      <c r="I35" s="1"/>
    </row>
    <row r="36" spans="1:9" ht="26.25" customHeight="1" x14ac:dyDescent="0.25">
      <c r="A36" s="1"/>
      <c r="B36" s="28" t="s">
        <v>56</v>
      </c>
      <c r="C36" s="63">
        <f>(C25+C26-C27)*(1+'Fane 15. Nøgletal'!C12)</f>
        <v>25775876.659079298</v>
      </c>
      <c r="D36" s="14" t="s">
        <v>3</v>
      </c>
      <c r="E36" s="63">
        <f>(E25+E26-E27)*(1+'Fane 15. Nøgletal'!C12)</f>
        <v>25873825.761935089</v>
      </c>
      <c r="F36" s="14" t="s">
        <v>3</v>
      </c>
      <c r="G36" s="63">
        <f>C36+E36</f>
        <v>51649702.421014383</v>
      </c>
      <c r="H36" s="14" t="s">
        <v>3</v>
      </c>
      <c r="I36" s="1"/>
    </row>
    <row r="37" spans="1:9" ht="26.25" customHeight="1" x14ac:dyDescent="0.25">
      <c r="A37" s="1"/>
      <c r="B37" s="28" t="s">
        <v>252</v>
      </c>
      <c r="C37" s="63">
        <v>0</v>
      </c>
      <c r="D37" s="14" t="s">
        <v>3</v>
      </c>
      <c r="E37" s="87">
        <v>0</v>
      </c>
      <c r="F37" s="14" t="s">
        <v>3</v>
      </c>
      <c r="G37" s="63">
        <f>C37+E37</f>
        <v>0</v>
      </c>
      <c r="H37" s="14" t="s">
        <v>3</v>
      </c>
      <c r="I37" s="1"/>
    </row>
    <row r="38" spans="1:9" ht="26.25" customHeight="1" x14ac:dyDescent="0.25">
      <c r="A38" s="1"/>
      <c r="B38" s="28" t="s">
        <v>57</v>
      </c>
      <c r="C38" s="63">
        <f>(C36+C37)*'Fane 15. Nøgletal'!$C$33</f>
        <v>515517.53318158595</v>
      </c>
      <c r="D38" s="14" t="s">
        <v>3</v>
      </c>
      <c r="E38" s="63">
        <f>(E36+E37)*'Fane 15. Nøgletal'!$C$33</f>
        <v>517476.51523870177</v>
      </c>
      <c r="F38" s="14" t="s">
        <v>3</v>
      </c>
      <c r="G38" s="63">
        <f>(G36+G37)*'Fane 15. Nøgletal'!$C$33</f>
        <v>1032994.0484202877</v>
      </c>
      <c r="H38" s="14" t="s">
        <v>3</v>
      </c>
      <c r="I38" s="1"/>
    </row>
    <row r="39" spans="1:9" x14ac:dyDescent="0.25">
      <c r="A39" s="1"/>
      <c r="B39" s="20"/>
      <c r="C39" s="27"/>
      <c r="D39" s="27"/>
      <c r="E39" s="27"/>
      <c r="F39" s="27"/>
      <c r="G39" s="65"/>
      <c r="H39" s="19"/>
      <c r="I39" s="1"/>
    </row>
    <row r="40" spans="1:9" x14ac:dyDescent="0.25">
      <c r="A40" s="1"/>
      <c r="B40" s="90"/>
      <c r="C40" s="1"/>
      <c r="D40" s="1"/>
      <c r="E40" s="1"/>
      <c r="F40" s="1"/>
      <c r="G40" s="66"/>
      <c r="H40" s="1"/>
      <c r="I40" s="1"/>
    </row>
    <row r="41" spans="1:9" ht="39" x14ac:dyDescent="0.25">
      <c r="A41" s="1"/>
      <c r="B41" s="20" t="s">
        <v>137</v>
      </c>
      <c r="C41" s="171" t="s">
        <v>223</v>
      </c>
      <c r="D41" s="171"/>
      <c r="E41" s="171" t="s">
        <v>224</v>
      </c>
      <c r="F41" s="171"/>
      <c r="G41" s="171" t="s">
        <v>242</v>
      </c>
      <c r="H41" s="172"/>
      <c r="I41" s="1"/>
    </row>
    <row r="42" spans="1:9" ht="26.25" customHeight="1" x14ac:dyDescent="0.25">
      <c r="A42" s="1"/>
      <c r="B42" s="28" t="s">
        <v>76</v>
      </c>
      <c r="C42" s="63">
        <f>(C36+C37-C38)*(1+'Fane 15. Nøgletal'!C14)</f>
        <v>25343718.311013177</v>
      </c>
      <c r="D42" s="14" t="s">
        <v>3</v>
      </c>
      <c r="E42" s="63">
        <f>(E36+E37-E38)*(1+'Fane 15. Nøgletal'!C14)</f>
        <v>25440025.199210487</v>
      </c>
      <c r="F42" s="14" t="s">
        <v>3</v>
      </c>
      <c r="G42" s="63">
        <f>C42+E42</f>
        <v>50783743.510223664</v>
      </c>
      <c r="H42" s="14" t="s">
        <v>3</v>
      </c>
      <c r="I42" s="1"/>
    </row>
    <row r="43" spans="1:9" ht="26.25" customHeight="1" x14ac:dyDescent="0.25">
      <c r="A43" s="1"/>
      <c r="B43" s="28" t="s">
        <v>253</v>
      </c>
      <c r="C43" s="63">
        <v>0</v>
      </c>
      <c r="D43" s="14" t="s">
        <v>3</v>
      </c>
      <c r="E43" s="87">
        <v>0</v>
      </c>
      <c r="F43" s="14" t="s">
        <v>3</v>
      </c>
      <c r="G43" s="63">
        <f>C43+E43</f>
        <v>0</v>
      </c>
      <c r="H43" s="14" t="s">
        <v>3</v>
      </c>
      <c r="I43" s="1"/>
    </row>
    <row r="44" spans="1:9" ht="26.25" customHeight="1" x14ac:dyDescent="0.25">
      <c r="A44" s="1"/>
      <c r="B44" s="28" t="s">
        <v>139</v>
      </c>
      <c r="C44" s="63">
        <f>(C42+C43)*'Fane 15. Nøgletal'!$C$33</f>
        <v>506874.36622026353</v>
      </c>
      <c r="D44" s="14" t="s">
        <v>3</v>
      </c>
      <c r="E44" s="63">
        <f>(E42+E43)*'Fane 15. Nøgletal'!$C$33</f>
        <v>508800.50398420973</v>
      </c>
      <c r="F44" s="14" t="s">
        <v>3</v>
      </c>
      <c r="G44" s="63">
        <f>(G42+G43)*'Fane 15. Nøgletal'!$C$33</f>
        <v>1015674.8702044733</v>
      </c>
      <c r="H44" s="14" t="s">
        <v>3</v>
      </c>
      <c r="I44" s="1"/>
    </row>
    <row r="45" spans="1:9" x14ac:dyDescent="0.25">
      <c r="A45" s="1"/>
      <c r="B45" s="20"/>
      <c r="C45" s="27"/>
      <c r="D45" s="27"/>
      <c r="E45" s="27"/>
      <c r="F45" s="27"/>
      <c r="G45" s="65"/>
      <c r="H45" s="19"/>
      <c r="I45" s="1"/>
    </row>
    <row r="46" spans="1:9" x14ac:dyDescent="0.25">
      <c r="A46" s="1"/>
      <c r="B46" s="90"/>
      <c r="C46" s="1"/>
      <c r="D46" s="1"/>
      <c r="E46" s="1"/>
      <c r="F46" s="1"/>
      <c r="G46" s="66"/>
      <c r="H46" s="1"/>
      <c r="I46" s="1"/>
    </row>
    <row r="47" spans="1:9" ht="39" x14ac:dyDescent="0.25">
      <c r="A47" s="1"/>
      <c r="B47" s="20" t="s">
        <v>138</v>
      </c>
      <c r="C47" s="171" t="s">
        <v>223</v>
      </c>
      <c r="D47" s="171"/>
      <c r="E47" s="171" t="s">
        <v>224</v>
      </c>
      <c r="F47" s="171"/>
      <c r="G47" s="171" t="s">
        <v>242</v>
      </c>
      <c r="H47" s="172"/>
      <c r="I47" s="1"/>
    </row>
    <row r="48" spans="1:9" ht="26.25" customHeight="1" x14ac:dyDescent="0.25">
      <c r="A48" s="1"/>
      <c r="B48" s="28" t="s">
        <v>178</v>
      </c>
      <c r="C48" s="63">
        <f>(C42+C43-C44)*(1+'Fane 15. Nøgletal'!C14)</f>
        <v>24918805.529810734</v>
      </c>
      <c r="D48" s="14" t="s">
        <v>3</v>
      </c>
      <c r="E48" s="63">
        <f>(E42+E43-E44)*(1+'Fane 15. Nøgletal'!C14)</f>
        <v>25013497.736720528</v>
      </c>
      <c r="F48" s="14" t="s">
        <v>3</v>
      </c>
      <c r="G48" s="63">
        <f>C48+E48</f>
        <v>49932303.266531259</v>
      </c>
      <c r="H48" s="14" t="s">
        <v>3</v>
      </c>
      <c r="I48" s="1"/>
    </row>
    <row r="49" spans="1:9" ht="26.25" customHeight="1" x14ac:dyDescent="0.25">
      <c r="A49" s="1"/>
      <c r="B49" s="25" t="s">
        <v>180</v>
      </c>
      <c r="C49" s="67">
        <v>0</v>
      </c>
      <c r="D49" s="14" t="s">
        <v>3</v>
      </c>
      <c r="E49" s="67">
        <v>2760334.7231131205</v>
      </c>
      <c r="F49" s="14" t="s">
        <v>3</v>
      </c>
      <c r="G49" s="63">
        <f>C49+E49</f>
        <v>2760334.7231131205</v>
      </c>
      <c r="H49" s="14" t="s">
        <v>3</v>
      </c>
      <c r="I49" s="1"/>
    </row>
    <row r="50" spans="1:9" ht="26.25" customHeight="1" x14ac:dyDescent="0.25">
      <c r="A50" s="1"/>
      <c r="B50" s="28" t="s">
        <v>140</v>
      </c>
      <c r="C50" s="63">
        <f>SUM(C48:C49)*'Fane 15. Nøgletal'!$C$33</f>
        <v>498376.11059621471</v>
      </c>
      <c r="D50" s="14" t="s">
        <v>3</v>
      </c>
      <c r="E50" s="63">
        <f>SUM(E48:E49)*'Fane 15. Nøgletal'!$C$33</f>
        <v>555476.64919667295</v>
      </c>
      <c r="F50" s="14" t="s">
        <v>3</v>
      </c>
      <c r="G50" s="63">
        <f>SUM(G48:G49)*'Fane 15. Nøgletal'!$C$33</f>
        <v>1053852.7597928876</v>
      </c>
      <c r="H50" s="14" t="s">
        <v>3</v>
      </c>
      <c r="I50" s="1"/>
    </row>
    <row r="51" spans="1:9" x14ac:dyDescent="0.25">
      <c r="A51" s="1"/>
      <c r="B51" s="20"/>
      <c r="C51" s="27"/>
      <c r="D51" s="27"/>
      <c r="E51" s="27"/>
      <c r="F51" s="27"/>
      <c r="G51" s="65"/>
      <c r="H51" s="19"/>
      <c r="I51" s="1"/>
    </row>
    <row r="52" spans="1:9" x14ac:dyDescent="0.25">
      <c r="A52" s="1"/>
      <c r="B52" s="90"/>
      <c r="C52" s="1"/>
      <c r="D52" s="1"/>
      <c r="E52" s="1"/>
      <c r="F52" s="1"/>
      <c r="G52" s="66"/>
      <c r="H52" s="1"/>
      <c r="I52" s="1"/>
    </row>
    <row r="53" spans="1:9" ht="39" x14ac:dyDescent="0.25">
      <c r="A53" s="1"/>
      <c r="B53" s="20" t="s">
        <v>186</v>
      </c>
      <c r="C53" s="171" t="s">
        <v>223</v>
      </c>
      <c r="D53" s="171"/>
      <c r="E53" s="171" t="s">
        <v>224</v>
      </c>
      <c r="F53" s="171"/>
      <c r="G53" s="171" t="s">
        <v>242</v>
      </c>
      <c r="H53" s="172"/>
      <c r="I53" s="1"/>
    </row>
    <row r="54" spans="1:9" ht="26.25" customHeight="1" x14ac:dyDescent="0.25">
      <c r="A54" s="1"/>
      <c r="B54" s="28" t="s">
        <v>177</v>
      </c>
      <c r="C54" s="63">
        <f>(C48+C49-C50)*(1+'Fane 15. Nøgletal'!C16)</f>
        <v>26393600.116287053</v>
      </c>
      <c r="D54" s="14" t="s">
        <v>3</v>
      </c>
      <c r="E54" s="63">
        <f>(E48+E49-E50)*(1+'Fane 15. Nøgletal'!C16)</f>
        <v>29417598.960136443</v>
      </c>
      <c r="F54" s="14" t="s">
        <v>3</v>
      </c>
      <c r="G54" s="63">
        <f>C54+E54</f>
        <v>55811199.076423496</v>
      </c>
      <c r="H54" s="14" t="s">
        <v>3</v>
      </c>
      <c r="I54" s="1"/>
    </row>
    <row r="55" spans="1:9" ht="26.25" customHeight="1" x14ac:dyDescent="0.25">
      <c r="A55" s="1"/>
      <c r="B55" s="28" t="s">
        <v>254</v>
      </c>
      <c r="C55" s="63">
        <f>('Fane 2.1. Økonomisk ramme 2024'!C10+'Fane 2.1. Økonomisk ramme 2024'!C12+'Fane 2.1. Økonomisk ramme 2024'!C14)*(1+'Fane 15. Nøgletal'!C16)</f>
        <v>4410736.9317759993</v>
      </c>
      <c r="D55" s="14" t="s">
        <v>3</v>
      </c>
      <c r="E55" s="63">
        <f>('Fane 2.1. Økonomisk ramme 2024'!E10+'Fane 2.1. Økonomisk ramme 2024'!E12+'Fane 2.1. Økonomisk ramme 2024'!E14)*(1+'Fane 15. Nøgletal'!C16)</f>
        <v>576455.13003904</v>
      </c>
      <c r="F55" s="14" t="s">
        <v>3</v>
      </c>
      <c r="G55" s="63">
        <f>(C55)+E55</f>
        <v>4987192.0618150393</v>
      </c>
      <c r="H55" s="14" t="s">
        <v>3</v>
      </c>
      <c r="I55" s="1"/>
    </row>
    <row r="56" spans="1:9" ht="26.25" customHeight="1" x14ac:dyDescent="0.25">
      <c r="A56" s="1"/>
      <c r="B56" s="28" t="s">
        <v>255</v>
      </c>
      <c r="C56" s="63">
        <f>(C54)*'Fane 15. Nøgletal'!C33+(C55)*'Fane 15. Nøgletal'!C33</f>
        <v>616086.74096126109</v>
      </c>
      <c r="D56" s="14" t="s">
        <v>3</v>
      </c>
      <c r="E56" s="63">
        <f>(E54)*'Fane 15. Nøgletal'!C33+(E55)*'Fane 15. Nøgletal'!C33</f>
        <v>599881.08180350962</v>
      </c>
      <c r="F56" s="14" t="s">
        <v>3</v>
      </c>
      <c r="G56" s="63">
        <f>(SUM(G54:G55)*'Fane 15. Nøgletal'!$C$33)</f>
        <v>1215967.8227647708</v>
      </c>
      <c r="H56" s="14" t="s">
        <v>3</v>
      </c>
      <c r="I56" s="1"/>
    </row>
    <row r="57" spans="1:9" x14ac:dyDescent="0.25">
      <c r="A57" s="1"/>
      <c r="B57" s="20"/>
      <c r="C57" s="27"/>
      <c r="D57" s="27"/>
      <c r="E57" s="27"/>
      <c r="F57" s="27"/>
      <c r="G57" s="65"/>
      <c r="H57" s="19"/>
      <c r="I57" s="1"/>
    </row>
    <row r="58" spans="1:9" x14ac:dyDescent="0.25">
      <c r="A58" s="1"/>
      <c r="B58" s="90"/>
      <c r="C58" s="1"/>
      <c r="D58" s="1"/>
      <c r="E58" s="1"/>
      <c r="F58" s="1"/>
      <c r="G58" s="66"/>
      <c r="H58" s="1"/>
      <c r="I58" s="1"/>
    </row>
    <row r="59" spans="1:9" ht="39" x14ac:dyDescent="0.25">
      <c r="A59" s="1"/>
      <c r="B59" s="20" t="s">
        <v>133</v>
      </c>
      <c r="C59" s="171" t="s">
        <v>223</v>
      </c>
      <c r="D59" s="171"/>
      <c r="E59" s="171" t="s">
        <v>224</v>
      </c>
      <c r="F59" s="171"/>
      <c r="G59" s="171" t="s">
        <v>242</v>
      </c>
      <c r="H59" s="172"/>
      <c r="I59" s="1"/>
    </row>
    <row r="60" spans="1:9" ht="26.25" customHeight="1" x14ac:dyDescent="0.25">
      <c r="A60" s="1"/>
      <c r="B60" s="103" t="s">
        <v>256</v>
      </c>
      <c r="C60" s="63">
        <f>(C54+C55-C56)*(1+'Fane 15. Nøgletal'!C16)</f>
        <v>32627460.931915615</v>
      </c>
      <c r="D60" s="14" t="s">
        <v>3</v>
      </c>
      <c r="E60" s="63">
        <f>(E54+E55-E56)*(1+'Fane 15. Nøgletal'!C16)</f>
        <v>31769222.187448431</v>
      </c>
      <c r="F60" s="14" t="s">
        <v>3</v>
      </c>
      <c r="G60" s="63">
        <f>C60+E60</f>
        <v>64396683.119364046</v>
      </c>
      <c r="H60" s="14" t="s">
        <v>3</v>
      </c>
      <c r="I60" s="1"/>
    </row>
    <row r="61" spans="1:9" ht="26.25" customHeight="1" x14ac:dyDescent="0.25">
      <c r="A61" s="1"/>
      <c r="B61" s="103" t="s">
        <v>257</v>
      </c>
      <c r="C61" s="63">
        <f>(C60)*'Fane 15. Nøgletal'!$C$33</f>
        <v>652549.2186383123</v>
      </c>
      <c r="D61" s="14" t="s">
        <v>3</v>
      </c>
      <c r="E61" s="63">
        <f>(E60)*'Fane 15. Nøgletal'!$C$33</f>
        <v>635384.44374896865</v>
      </c>
      <c r="F61" s="14" t="s">
        <v>3</v>
      </c>
      <c r="G61" s="63">
        <f>(G60)*'Fane 15. Nøgletal'!$C$33</f>
        <v>1287933.662387281</v>
      </c>
      <c r="H61" s="14" t="s">
        <v>3</v>
      </c>
      <c r="I61" s="1"/>
    </row>
    <row r="62" spans="1:9" x14ac:dyDescent="0.25">
      <c r="A62" s="1"/>
      <c r="B62" s="20"/>
      <c r="C62" s="27"/>
      <c r="D62" s="27"/>
      <c r="E62" s="27"/>
      <c r="F62" s="27"/>
      <c r="G62" s="65"/>
      <c r="H62" s="19"/>
      <c r="I62" s="1"/>
    </row>
    <row r="63" spans="1:9" x14ac:dyDescent="0.25">
      <c r="A63" s="1"/>
      <c r="B63" s="90"/>
      <c r="C63" s="1"/>
      <c r="D63" s="1"/>
      <c r="E63" s="1"/>
      <c r="F63" s="1"/>
      <c r="G63" s="66"/>
      <c r="H63" s="1"/>
      <c r="I63" s="1"/>
    </row>
    <row r="64" spans="1:9" x14ac:dyDescent="0.25">
      <c r="A64" s="1"/>
      <c r="B64" s="90"/>
      <c r="C64" s="1"/>
      <c r="D64" s="1"/>
      <c r="E64" s="1"/>
      <c r="F64" s="1"/>
      <c r="G64" s="66"/>
      <c r="H64" s="1"/>
      <c r="I64" s="1"/>
    </row>
    <row r="65" spans="1:9" x14ac:dyDescent="0.25">
      <c r="A65" s="1"/>
      <c r="B65" s="90"/>
      <c r="C65" s="1"/>
      <c r="D65" s="1"/>
      <c r="E65" s="1"/>
      <c r="F65" s="1"/>
      <c r="G65" s="66"/>
      <c r="H65" s="1"/>
      <c r="I65" s="1"/>
    </row>
    <row r="66" spans="1:9" x14ac:dyDescent="0.25">
      <c r="A66" s="1"/>
      <c r="B66" s="90"/>
      <c r="C66" s="1"/>
      <c r="D66" s="1"/>
      <c r="E66" s="1"/>
      <c r="F66" s="1"/>
      <c r="G66" s="66"/>
      <c r="H66" s="1"/>
      <c r="I66" s="1"/>
    </row>
    <row r="67" spans="1:9" x14ac:dyDescent="0.25">
      <c r="A67" s="1"/>
      <c r="B67" s="90"/>
      <c r="C67" s="1"/>
      <c r="D67" s="1"/>
      <c r="E67" s="1"/>
      <c r="F67" s="1"/>
      <c r="G67" s="66"/>
      <c r="H67" s="1"/>
      <c r="I67" s="1"/>
    </row>
    <row r="68" spans="1:9" ht="39" x14ac:dyDescent="0.25">
      <c r="A68" s="1"/>
      <c r="B68" s="20" t="s">
        <v>161</v>
      </c>
      <c r="C68" s="171" t="s">
        <v>223</v>
      </c>
      <c r="D68" s="171"/>
      <c r="E68" s="171" t="s">
        <v>224</v>
      </c>
      <c r="F68" s="171"/>
      <c r="G68" s="171" t="s">
        <v>225</v>
      </c>
      <c r="H68" s="172"/>
      <c r="I68" s="1"/>
    </row>
    <row r="69" spans="1:9" ht="26.25" customHeight="1" x14ac:dyDescent="0.25">
      <c r="A69" s="1"/>
      <c r="B69" s="103" t="s">
        <v>258</v>
      </c>
      <c r="C69" s="63">
        <f>(C60-C61)*(1+'Fane 15. Nøgletal'!C16)</f>
        <v>34558484.579710111</v>
      </c>
      <c r="D69" s="14" t="s">
        <v>3</v>
      </c>
      <c r="E69" s="63">
        <f>(E60-E61)*(1+'Fane 15. Nøgletal'!C16)</f>
        <v>33649451.833390377</v>
      </c>
      <c r="F69" s="14" t="s">
        <v>3</v>
      </c>
      <c r="G69" s="63">
        <f>C69+E69</f>
        <v>68207936.413100481</v>
      </c>
      <c r="H69" s="14" t="s">
        <v>3</v>
      </c>
      <c r="I69" s="1"/>
    </row>
    <row r="70" spans="1:9" ht="26.25" customHeight="1" x14ac:dyDescent="0.25">
      <c r="A70" s="1"/>
      <c r="B70" s="103" t="s">
        <v>259</v>
      </c>
      <c r="C70" s="63">
        <f>(C69)*'Fane 15. Nøgletal'!$C$33</f>
        <v>691169.69159420219</v>
      </c>
      <c r="D70" s="14" t="s">
        <v>3</v>
      </c>
      <c r="E70" s="63">
        <f>(E69)*'Fane 15. Nøgletal'!$C$33</f>
        <v>672989.03666780761</v>
      </c>
      <c r="F70" s="14" t="s">
        <v>3</v>
      </c>
      <c r="G70" s="63">
        <f>(G69)*'Fane 15. Nøgletal'!$C$33</f>
        <v>1364158.7282620096</v>
      </c>
      <c r="H70" s="14" t="s">
        <v>3</v>
      </c>
      <c r="I70" s="1"/>
    </row>
    <row r="71" spans="1:9" x14ac:dyDescent="0.25">
      <c r="A71" s="1"/>
      <c r="B71" s="32"/>
      <c r="C71" s="27"/>
      <c r="D71" s="27"/>
      <c r="E71" s="27"/>
      <c r="F71" s="27"/>
      <c r="G71" s="27"/>
      <c r="H71" s="19"/>
      <c r="I71" s="1"/>
    </row>
    <row r="72" spans="1:9" x14ac:dyDescent="0.25">
      <c r="A72" s="1"/>
      <c r="B72" s="1"/>
      <c r="C72" s="1"/>
      <c r="D72" s="1"/>
      <c r="E72" s="1"/>
      <c r="F72" s="1"/>
      <c r="G72" s="1"/>
      <c r="H72" s="1"/>
      <c r="I72" s="1"/>
    </row>
    <row r="73" spans="1:9" ht="39" x14ac:dyDescent="0.25">
      <c r="A73" s="1"/>
      <c r="B73" s="20" t="s">
        <v>260</v>
      </c>
      <c r="C73" s="171" t="s">
        <v>223</v>
      </c>
      <c r="D73" s="171"/>
      <c r="E73" s="171" t="s">
        <v>224</v>
      </c>
      <c r="F73" s="171"/>
      <c r="G73" s="171" t="s">
        <v>225</v>
      </c>
      <c r="H73" s="172"/>
      <c r="I73" s="1"/>
    </row>
    <row r="74" spans="1:9" ht="26.25" x14ac:dyDescent="0.25">
      <c r="A74" s="1"/>
      <c r="B74" s="127" t="s">
        <v>261</v>
      </c>
      <c r="C74" s="63">
        <f>(C69-C70)*(1+'Fane 15. Nøgletal'!C16)</f>
        <v>36603793.93107567</v>
      </c>
      <c r="D74" s="14" t="s">
        <v>3</v>
      </c>
      <c r="E74" s="63">
        <f>(E69-E70)*(1+'Fane 15. Nøgletal'!C16)</f>
        <v>35640960.990697749</v>
      </c>
      <c r="F74" s="14" t="s">
        <v>3</v>
      </c>
      <c r="G74" s="63">
        <f>C74+E74</f>
        <v>72244754.921773419</v>
      </c>
      <c r="H74" s="14" t="s">
        <v>3</v>
      </c>
      <c r="I74" s="1"/>
    </row>
    <row r="75" spans="1:9" ht="26.25" x14ac:dyDescent="0.25">
      <c r="A75" s="47"/>
      <c r="B75" s="127" t="s">
        <v>262</v>
      </c>
      <c r="C75" s="63">
        <f>(C74)*'Fane 15. Nøgletal'!$C$33</f>
        <v>732075.87862151337</v>
      </c>
      <c r="D75" s="14" t="s">
        <v>3</v>
      </c>
      <c r="E75" s="63">
        <f>(E74)*'Fane 15. Nøgletal'!$C$33</f>
        <v>712819.21981395502</v>
      </c>
      <c r="F75" s="14" t="s">
        <v>3</v>
      </c>
      <c r="G75" s="63">
        <f>(G74)*'Fane 15. Nøgletal'!$C$33</f>
        <v>1444895.0984354685</v>
      </c>
      <c r="H75" s="14" t="s">
        <v>3</v>
      </c>
      <c r="I75" s="1"/>
    </row>
    <row r="76" spans="1:9" x14ac:dyDescent="0.25">
      <c r="A76" s="1"/>
      <c r="B76" s="32"/>
      <c r="C76" s="27"/>
      <c r="D76" s="27"/>
      <c r="E76" s="27"/>
      <c r="F76" s="27"/>
      <c r="G76" s="27"/>
      <c r="H76" s="19"/>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45"/>
      <c r="B80" s="45"/>
      <c r="C80" s="45"/>
      <c r="D80" s="45"/>
      <c r="E80" s="45"/>
      <c r="F80" s="45"/>
      <c r="G80" s="45"/>
      <c r="H80" s="45"/>
      <c r="I80" s="45"/>
    </row>
  </sheetData>
  <sheetProtection algorithmName="SHA-512" hashValue="+K0OAuNHptmCJ+pV1FfQY4/iS70ArA+KpC6jp6vvPoq8UppesGJHtlEU/Xvb64vUbkddHpeN6/jc3hEqH7WQ+A==" saltValue="WdgVrFpGaJJoVTw7wXj7uA==" spinCount="100000" sheet="1" objects="1" scenarios="1"/>
  <mergeCells count="34">
    <mergeCell ref="B2:H3"/>
    <mergeCell ref="C4:D4"/>
    <mergeCell ref="E4:F4"/>
    <mergeCell ref="G4:H4"/>
    <mergeCell ref="C10:D10"/>
    <mergeCell ref="E10:F10"/>
    <mergeCell ref="G10:H10"/>
    <mergeCell ref="C18:D18"/>
    <mergeCell ref="E18:F18"/>
    <mergeCell ref="G18:H18"/>
    <mergeCell ref="C24:D24"/>
    <mergeCell ref="E24:F24"/>
    <mergeCell ref="G24:H24"/>
    <mergeCell ref="C59:D59"/>
    <mergeCell ref="E59:F59"/>
    <mergeCell ref="G59:H59"/>
    <mergeCell ref="C35:D35"/>
    <mergeCell ref="E35:F35"/>
    <mergeCell ref="G35:H35"/>
    <mergeCell ref="C41:D41"/>
    <mergeCell ref="E41:F41"/>
    <mergeCell ref="G41:H41"/>
    <mergeCell ref="C47:D47"/>
    <mergeCell ref="E47:F47"/>
    <mergeCell ref="G47:H47"/>
    <mergeCell ref="C53:D53"/>
    <mergeCell ref="E53:F53"/>
    <mergeCell ref="G53:H53"/>
    <mergeCell ref="C73:D73"/>
    <mergeCell ref="E73:F73"/>
    <mergeCell ref="G73:H73"/>
    <mergeCell ref="C68:D68"/>
    <mergeCell ref="E68:F68"/>
    <mergeCell ref="G68:H68"/>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69"/>
  <sheetViews>
    <sheetView showGridLines="0" view="pageLayout" topLeftCell="A46" zoomScaleNormal="100" workbookViewId="0">
      <selection activeCell="G64" sqref="G64"/>
    </sheetView>
  </sheetViews>
  <sheetFormatPr defaultColWidth="9.140625" defaultRowHeight="15" x14ac:dyDescent="0.25"/>
  <cols>
    <col min="1" max="1" width="1.42578125" style="2" customWidth="1"/>
    <col min="2" max="2" width="38.5703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ht="14.25" customHeight="1" x14ac:dyDescent="0.25">
      <c r="A1" s="1"/>
      <c r="B1" s="179" t="s">
        <v>101</v>
      </c>
      <c r="C1" s="179"/>
      <c r="D1" s="179"/>
      <c r="E1" s="179"/>
      <c r="F1" s="179"/>
      <c r="G1" s="179"/>
      <c r="H1" s="179"/>
      <c r="I1" s="1"/>
    </row>
    <row r="2" spans="1:9" ht="15" customHeight="1" x14ac:dyDescent="0.25">
      <c r="A2" s="1"/>
      <c r="B2" s="179"/>
      <c r="C2" s="179"/>
      <c r="D2" s="179"/>
      <c r="E2" s="179"/>
      <c r="F2" s="179"/>
      <c r="G2" s="179"/>
      <c r="H2" s="179"/>
      <c r="I2" s="1"/>
    </row>
    <row r="3" spans="1:9" ht="15" customHeight="1" x14ac:dyDescent="0.25">
      <c r="A3" s="1"/>
      <c r="B3" s="179"/>
      <c r="C3" s="179"/>
      <c r="D3" s="179"/>
      <c r="E3" s="179"/>
      <c r="F3" s="179"/>
      <c r="G3" s="179"/>
      <c r="H3" s="179"/>
      <c r="I3" s="1"/>
    </row>
    <row r="4" spans="1:9" ht="15" customHeight="1" x14ac:dyDescent="0.35">
      <c r="A4" s="1"/>
      <c r="B4" s="123"/>
      <c r="C4" s="123"/>
      <c r="D4" s="123"/>
      <c r="E4" s="123"/>
      <c r="F4" s="123"/>
      <c r="G4" s="123"/>
      <c r="H4" s="123"/>
      <c r="I4" s="1"/>
    </row>
    <row r="5" spans="1:9" ht="39" x14ac:dyDescent="0.25">
      <c r="A5" s="1"/>
      <c r="B5" s="20" t="s">
        <v>53</v>
      </c>
      <c r="C5" s="171" t="s">
        <v>223</v>
      </c>
      <c r="D5" s="171"/>
      <c r="E5" s="171" t="s">
        <v>224</v>
      </c>
      <c r="F5" s="171"/>
      <c r="G5" s="171" t="s">
        <v>242</v>
      </c>
      <c r="H5" s="172"/>
      <c r="I5" s="1"/>
    </row>
    <row r="6" spans="1:9" ht="26.25" x14ac:dyDescent="0.25">
      <c r="A6" s="1"/>
      <c r="B6" s="28" t="s">
        <v>58</v>
      </c>
      <c r="C6" s="63">
        <v>54487051</v>
      </c>
      <c r="D6" s="14" t="s">
        <v>3</v>
      </c>
      <c r="E6" s="63">
        <v>57604782.555860884</v>
      </c>
      <c r="F6" s="14" t="s">
        <v>3</v>
      </c>
      <c r="G6" s="63">
        <f>C6+E6</f>
        <v>112091833.55586088</v>
      </c>
      <c r="H6" s="14" t="s">
        <v>3</v>
      </c>
      <c r="I6" s="1"/>
    </row>
    <row r="7" spans="1:9" ht="26.25" x14ac:dyDescent="0.25">
      <c r="A7" s="1"/>
      <c r="B7" s="28" t="s">
        <v>54</v>
      </c>
      <c r="C7" s="63">
        <f>C6*'Fane 15. Nøgletal'!C21</f>
        <v>495832.16410000005</v>
      </c>
      <c r="D7" s="14" t="s">
        <v>3</v>
      </c>
      <c r="E7" s="63">
        <f>E6*'Fane 15. Nøgletal'!C21</f>
        <v>524203.52125833405</v>
      </c>
      <c r="F7" s="14" t="s">
        <v>3</v>
      </c>
      <c r="G7" s="63">
        <f>G6*'Fane 15. Nøgletal'!C21</f>
        <v>1020035.685358334</v>
      </c>
      <c r="H7" s="14" t="s">
        <v>3</v>
      </c>
      <c r="I7" s="1"/>
    </row>
    <row r="8" spans="1:9" x14ac:dyDescent="0.25">
      <c r="A8" s="1"/>
      <c r="B8" s="32"/>
      <c r="C8" s="27"/>
      <c r="D8" s="27"/>
      <c r="E8" s="27"/>
      <c r="F8" s="27"/>
      <c r="G8" s="65"/>
      <c r="H8" s="19"/>
      <c r="I8" s="1"/>
    </row>
    <row r="9" spans="1:9" x14ac:dyDescent="0.25">
      <c r="A9" s="1"/>
      <c r="B9" s="1"/>
      <c r="C9" s="1"/>
      <c r="D9" s="1"/>
      <c r="E9" s="1"/>
      <c r="F9" s="1"/>
      <c r="G9" s="66"/>
      <c r="H9" s="1"/>
      <c r="I9" s="1"/>
    </row>
    <row r="10" spans="1:9" ht="39" x14ac:dyDescent="0.25">
      <c r="A10" s="1"/>
      <c r="B10" s="20" t="s">
        <v>59</v>
      </c>
      <c r="C10" s="171" t="s">
        <v>223</v>
      </c>
      <c r="D10" s="171"/>
      <c r="E10" s="171" t="s">
        <v>224</v>
      </c>
      <c r="F10" s="171"/>
      <c r="G10" s="171" t="s">
        <v>242</v>
      </c>
      <c r="H10" s="172"/>
      <c r="I10" s="1"/>
    </row>
    <row r="11" spans="1:9" ht="26.25" x14ac:dyDescent="0.25">
      <c r="A11" s="1"/>
      <c r="B11" s="28" t="s">
        <v>60</v>
      </c>
      <c r="C11" s="63">
        <f>(C6-C7)*(1+'Fane 15. Nøgletal'!C10)</f>
        <v>54936065.165528253</v>
      </c>
      <c r="D11" s="14" t="s">
        <v>3</v>
      </c>
      <c r="E11" s="63">
        <f>(E6-E7)*(1+'Fane 15. Nøgletal'!C10)</f>
        <v>58079489.167708099</v>
      </c>
      <c r="F11" s="14" t="s">
        <v>3</v>
      </c>
      <c r="G11" s="63">
        <f>C11+E11</f>
        <v>113015554.33323635</v>
      </c>
      <c r="H11" s="14" t="s">
        <v>3</v>
      </c>
      <c r="I11" s="1"/>
    </row>
    <row r="12" spans="1:9" x14ac:dyDescent="0.25">
      <c r="A12" s="1"/>
      <c r="B12" s="28" t="s">
        <v>113</v>
      </c>
      <c r="C12" s="63">
        <v>219629.92472418767</v>
      </c>
      <c r="D12" s="14" t="s">
        <v>3</v>
      </c>
      <c r="E12" s="63">
        <v>103076.26602944829</v>
      </c>
      <c r="F12" s="14" t="s">
        <v>3</v>
      </c>
      <c r="G12" s="63">
        <f>C12+E12</f>
        <v>322706.19075363595</v>
      </c>
      <c r="H12" s="14" t="s">
        <v>3</v>
      </c>
      <c r="I12" s="1"/>
    </row>
    <row r="13" spans="1:9" ht="26.25" x14ac:dyDescent="0.25">
      <c r="A13" s="1"/>
      <c r="B13" s="28" t="s">
        <v>61</v>
      </c>
      <c r="C13" s="63">
        <v>0</v>
      </c>
      <c r="D13" s="14" t="s">
        <v>3</v>
      </c>
      <c r="E13" s="63">
        <v>0</v>
      </c>
      <c r="F13" s="14" t="s">
        <v>3</v>
      </c>
      <c r="G13" s="63">
        <f>C13+E13</f>
        <v>0</v>
      </c>
      <c r="H13" s="14" t="s">
        <v>3</v>
      </c>
      <c r="I13" s="1"/>
    </row>
    <row r="14" spans="1:9" ht="26.25" x14ac:dyDescent="0.25">
      <c r="A14" s="1"/>
      <c r="B14" s="28" t="s">
        <v>62</v>
      </c>
      <c r="C14" s="63">
        <f>SUM(C11:C13)*'Fane 15. Nøgletal'!C22</f>
        <v>976255.8030974681</v>
      </c>
      <c r="D14" s="14" t="s">
        <v>3</v>
      </c>
      <c r="E14" s="63">
        <f>SUM(E11:E13)*'Fane 15. Nøgletal'!C22</f>
        <v>1029831.4081771546</v>
      </c>
      <c r="F14" s="14" t="s">
        <v>3</v>
      </c>
      <c r="G14" s="63">
        <f>SUM(G11:G13)*'Fane 15. Nøgletal'!C22</f>
        <v>2006087.2112746229</v>
      </c>
      <c r="H14" s="14" t="s">
        <v>3</v>
      </c>
      <c r="I14" s="1"/>
    </row>
    <row r="15" spans="1:9" x14ac:dyDescent="0.25">
      <c r="A15" s="1"/>
      <c r="B15" s="32"/>
      <c r="C15" s="27"/>
      <c r="D15" s="27"/>
      <c r="E15" s="27"/>
      <c r="F15" s="27"/>
      <c r="G15" s="65"/>
      <c r="H15" s="19"/>
      <c r="I15" s="1"/>
    </row>
    <row r="16" spans="1:9" x14ac:dyDescent="0.25">
      <c r="A16" s="1"/>
      <c r="B16" s="1"/>
      <c r="C16" s="1"/>
      <c r="D16" s="1"/>
      <c r="E16" s="1"/>
      <c r="F16" s="1"/>
      <c r="G16" s="66"/>
      <c r="H16" s="1"/>
      <c r="I16" s="1"/>
    </row>
    <row r="17" spans="1:9" ht="39" x14ac:dyDescent="0.25">
      <c r="A17" s="1"/>
      <c r="B17" s="20" t="s">
        <v>63</v>
      </c>
      <c r="C17" s="171" t="s">
        <v>223</v>
      </c>
      <c r="D17" s="171"/>
      <c r="E17" s="171" t="s">
        <v>224</v>
      </c>
      <c r="F17" s="171"/>
      <c r="G17" s="171" t="s">
        <v>242</v>
      </c>
      <c r="H17" s="172"/>
      <c r="I17" s="1"/>
    </row>
    <row r="18" spans="1:9" ht="26.25" x14ac:dyDescent="0.25">
      <c r="A18" s="1"/>
      <c r="B18" s="28" t="s">
        <v>64</v>
      </c>
      <c r="C18" s="63">
        <f>(SUM(C11:C13)-C14)*(1+'Fane 15. Nøgletal'!$C$10)</f>
        <v>55127579.474680178</v>
      </c>
      <c r="D18" s="14" t="s">
        <v>3</v>
      </c>
      <c r="E18" s="63">
        <f>(SUM(E11:E13)-E14)*(1+'Fane 15. Nøgletal'!$C$10)</f>
        <v>58152906.871007703</v>
      </c>
      <c r="F18" s="14" t="s">
        <v>3</v>
      </c>
      <c r="G18" s="63">
        <f>C18+E18</f>
        <v>113280486.34568788</v>
      </c>
      <c r="H18" s="14" t="s">
        <v>3</v>
      </c>
      <c r="I18" s="1"/>
    </row>
    <row r="19" spans="1:9" ht="26.25" x14ac:dyDescent="0.25">
      <c r="A19" s="1"/>
      <c r="B19" s="28" t="s">
        <v>65</v>
      </c>
      <c r="C19" s="63">
        <v>0</v>
      </c>
      <c r="D19" s="14" t="s">
        <v>3</v>
      </c>
      <c r="E19" s="63">
        <v>0</v>
      </c>
      <c r="F19" s="14" t="s">
        <v>3</v>
      </c>
      <c r="G19" s="63">
        <f>C19+E19</f>
        <v>0</v>
      </c>
      <c r="H19" s="14" t="s">
        <v>3</v>
      </c>
      <c r="I19" s="1"/>
    </row>
    <row r="20" spans="1:9" ht="26.25" x14ac:dyDescent="0.25">
      <c r="A20" s="1"/>
      <c r="B20" s="28" t="s">
        <v>66</v>
      </c>
      <c r="C20" s="63">
        <f>C18*'Fane 15. Nøgletal'!$C$22+C19*'Fane 15. Nøgletal'!$C$23</f>
        <v>975758.15670183918</v>
      </c>
      <c r="D20" s="14" t="s">
        <v>3</v>
      </c>
      <c r="E20" s="63">
        <f>E18*'Fane 15. Nøgletal'!$C$22+E19*'Fane 15. Nøgletal'!$C$23</f>
        <v>1029306.4516168364</v>
      </c>
      <c r="F20" s="14" t="s">
        <v>3</v>
      </c>
      <c r="G20" s="63">
        <f>G18*'Fane 15. Nøgletal'!C22+G19*'Fane 15. Nøgletal'!C23</f>
        <v>2005064.6083186755</v>
      </c>
      <c r="H20" s="14" t="s">
        <v>3</v>
      </c>
      <c r="I20" s="1"/>
    </row>
    <row r="21" spans="1:9" x14ac:dyDescent="0.25">
      <c r="A21" s="1"/>
      <c r="B21" s="32"/>
      <c r="C21" s="27"/>
      <c r="D21" s="27"/>
      <c r="E21" s="27"/>
      <c r="F21" s="27"/>
      <c r="G21" s="65"/>
      <c r="H21" s="19"/>
      <c r="I21" s="1"/>
    </row>
    <row r="22" spans="1:9" x14ac:dyDescent="0.25">
      <c r="A22" s="1"/>
      <c r="B22" s="1"/>
      <c r="C22" s="1"/>
      <c r="D22" s="1"/>
      <c r="E22" s="1"/>
      <c r="F22" s="1"/>
      <c r="G22" s="66"/>
      <c r="H22" s="1"/>
      <c r="I22" s="1"/>
    </row>
    <row r="23" spans="1:9" ht="39" x14ac:dyDescent="0.25">
      <c r="A23" s="1"/>
      <c r="B23" s="20" t="s">
        <v>67</v>
      </c>
      <c r="C23" s="171" t="s">
        <v>223</v>
      </c>
      <c r="D23" s="171"/>
      <c r="E23" s="171" t="s">
        <v>224</v>
      </c>
      <c r="F23" s="171"/>
      <c r="G23" s="171" t="s">
        <v>242</v>
      </c>
      <c r="H23" s="172"/>
      <c r="I23" s="1"/>
    </row>
    <row r="24" spans="1:9" ht="26.25" x14ac:dyDescent="0.25">
      <c r="A24" s="1"/>
      <c r="B24" s="28" t="s">
        <v>68</v>
      </c>
      <c r="C24" s="63">
        <f>(SUM(C18:C19)-C20)*(1+'Fane 15. Nøgletal'!$C$12)</f>
        <v>55218612.19794251</v>
      </c>
      <c r="D24" s="14" t="s">
        <v>3</v>
      </c>
      <c r="E24" s="63">
        <f>(SUM(E18:E19)-E20)*(1+'Fane 15. Nøgletal'!$C$12)</f>
        <v>58248935.347652867</v>
      </c>
      <c r="F24" s="14" t="s">
        <v>3</v>
      </c>
      <c r="G24" s="63">
        <f>C24+E24</f>
        <v>113467547.54559538</v>
      </c>
      <c r="H24" s="14" t="s">
        <v>3</v>
      </c>
      <c r="I24" s="1"/>
    </row>
    <row r="25" spans="1:9" ht="26.25" x14ac:dyDescent="0.25">
      <c r="A25" s="1"/>
      <c r="B25" s="28" t="s">
        <v>69</v>
      </c>
      <c r="C25" s="63">
        <v>129866.2300740262</v>
      </c>
      <c r="D25" s="14" t="s">
        <v>3</v>
      </c>
      <c r="E25" s="63">
        <v>0</v>
      </c>
      <c r="F25" s="14" t="s">
        <v>3</v>
      </c>
      <c r="G25" s="63">
        <f>C25+E25</f>
        <v>129866.2300740262</v>
      </c>
      <c r="H25" s="14" t="s">
        <v>3</v>
      </c>
      <c r="I25" s="1"/>
    </row>
    <row r="26" spans="1:9" ht="26.25" x14ac:dyDescent="0.25">
      <c r="A26" s="1"/>
      <c r="B26" s="28" t="s">
        <v>70</v>
      </c>
      <c r="C26" s="63">
        <f>(C24+C25)*'Fane 15. Nøgletal'!$C$24</f>
        <v>1571896.7873556698</v>
      </c>
      <c r="D26" s="14" t="s">
        <v>3</v>
      </c>
      <c r="E26" s="63">
        <f>(E24+E25)*'Fane 15. Nøgletal'!$C$24</f>
        <v>1654269.7638733415</v>
      </c>
      <c r="F26" s="14" t="s">
        <v>3</v>
      </c>
      <c r="G26" s="63">
        <f>(G24+G25)*'Fane 15. Nøgletal'!C24</f>
        <v>3226166.5512290113</v>
      </c>
      <c r="H26" s="14" t="s">
        <v>3</v>
      </c>
      <c r="I26" s="1"/>
    </row>
    <row r="27" spans="1:9" x14ac:dyDescent="0.25">
      <c r="A27" s="1"/>
      <c r="B27" s="32"/>
      <c r="C27" s="27"/>
      <c r="D27" s="27"/>
      <c r="E27" s="27"/>
      <c r="F27" s="27"/>
      <c r="G27" s="65"/>
      <c r="H27" s="19"/>
      <c r="I27" s="1"/>
    </row>
    <row r="28" spans="1:9" ht="14.25" customHeight="1" x14ac:dyDescent="0.25">
      <c r="A28" s="1"/>
      <c r="B28" s="1"/>
      <c r="C28" s="1"/>
      <c r="D28" s="1"/>
      <c r="E28" s="1"/>
      <c r="F28" s="1"/>
      <c r="G28" s="66"/>
      <c r="H28" s="1"/>
      <c r="I28" s="1"/>
    </row>
    <row r="29" spans="1:9" ht="39" x14ac:dyDescent="0.25">
      <c r="A29" s="1"/>
      <c r="B29" s="20" t="s">
        <v>71</v>
      </c>
      <c r="C29" s="171" t="s">
        <v>223</v>
      </c>
      <c r="D29" s="171"/>
      <c r="E29" s="171" t="s">
        <v>224</v>
      </c>
      <c r="F29" s="171"/>
      <c r="G29" s="171" t="s">
        <v>242</v>
      </c>
      <c r="H29" s="172"/>
      <c r="I29" s="1"/>
    </row>
    <row r="30" spans="1:9" ht="26.25" x14ac:dyDescent="0.25">
      <c r="A30" s="1"/>
      <c r="B30" s="28" t="s">
        <v>72</v>
      </c>
      <c r="C30" s="63">
        <f>(SUM(C24:C25)-C26)*(1+'Fane 15. Nøgletal'!$C$12)</f>
        <v>54835980.29898189</v>
      </c>
      <c r="D30" s="14" t="s">
        <v>3</v>
      </c>
      <c r="E30" s="63">
        <f>(SUM(E24:E25)-E26)*(1+'Fane 15. Nøgletal'!$C$12)</f>
        <v>57709580.495779991</v>
      </c>
      <c r="F30" s="14" t="s">
        <v>3</v>
      </c>
      <c r="G30" s="63">
        <f>C30+E30</f>
        <v>112545560.79476188</v>
      </c>
      <c r="H30" s="14" t="s">
        <v>3</v>
      </c>
      <c r="I30" s="1"/>
    </row>
    <row r="31" spans="1:9" ht="26.25" x14ac:dyDescent="0.25">
      <c r="A31" s="1"/>
      <c r="B31" s="28" t="s">
        <v>125</v>
      </c>
      <c r="C31" s="63">
        <v>1289034.07394832</v>
      </c>
      <c r="D31" s="14" t="s">
        <v>3</v>
      </c>
      <c r="E31" s="63">
        <v>0</v>
      </c>
      <c r="F31" s="14" t="s">
        <v>3</v>
      </c>
      <c r="G31" s="63">
        <f>C31+E31</f>
        <v>1289034.07394832</v>
      </c>
      <c r="H31" s="14" t="s">
        <v>3</v>
      </c>
      <c r="I31" s="1"/>
    </row>
    <row r="32" spans="1:9" ht="26.25" x14ac:dyDescent="0.25">
      <c r="A32" s="1"/>
      <c r="B32" s="28" t="s">
        <v>73</v>
      </c>
      <c r="C32" s="63">
        <f>C30*'Fane 15. Nøgletal'!$C$24+C31*'Fane 15. Nøgletal'!$C$25</f>
        <v>1592790.2775246645</v>
      </c>
      <c r="D32" s="14" t="s">
        <v>3</v>
      </c>
      <c r="E32" s="63">
        <f>E30*'Fane 15. Nøgletal'!$C$24+E31*'Fane 15. Nøgletal'!$C$25</f>
        <v>1638952.0860801518</v>
      </c>
      <c r="F32" s="14" t="s">
        <v>3</v>
      </c>
      <c r="G32" s="63">
        <f>G30*'Fane 15. Nøgletal'!C24+G31*'Fane 15. Nøgletal'!C25</f>
        <v>3231742.3636048161</v>
      </c>
      <c r="H32" s="14" t="s">
        <v>3</v>
      </c>
      <c r="I32" s="1"/>
    </row>
    <row r="33" spans="1:9" x14ac:dyDescent="0.25">
      <c r="A33" s="1"/>
      <c r="B33" s="32"/>
      <c r="C33" s="27"/>
      <c r="D33" s="27"/>
      <c r="E33" s="27"/>
      <c r="F33" s="27"/>
      <c r="G33" s="65"/>
      <c r="H33" s="19"/>
      <c r="I33" s="1"/>
    </row>
    <row r="34" spans="1:9" x14ac:dyDescent="0.25">
      <c r="A34" s="1"/>
      <c r="B34" s="1"/>
      <c r="C34" s="1"/>
      <c r="D34" s="1"/>
      <c r="E34" s="1"/>
      <c r="F34" s="1"/>
      <c r="G34" s="66"/>
      <c r="H34" s="1"/>
      <c r="I34" s="1"/>
    </row>
    <row r="35" spans="1:9" ht="39" x14ac:dyDescent="0.25">
      <c r="A35" s="1"/>
      <c r="B35" s="20" t="s">
        <v>141</v>
      </c>
      <c r="C35" s="171" t="s">
        <v>223</v>
      </c>
      <c r="D35" s="171"/>
      <c r="E35" s="171" t="s">
        <v>224</v>
      </c>
      <c r="F35" s="171"/>
      <c r="G35" s="171" t="s">
        <v>242</v>
      </c>
      <c r="H35" s="172"/>
      <c r="I35" s="1"/>
    </row>
    <row r="36" spans="1:9" ht="26.25" x14ac:dyDescent="0.25">
      <c r="A36" s="1"/>
      <c r="B36" s="28" t="s">
        <v>75</v>
      </c>
      <c r="C36" s="63">
        <f>(SUM(C30:C31)-C32)*(1+'Fane 15. Nøgletal'!$C$14)</f>
        <v>54712180.434920393</v>
      </c>
      <c r="D36" s="14" t="s">
        <v>3</v>
      </c>
      <c r="E36" s="63">
        <f>(SUM(E30:E31)-E32)*(1+'Fane 15. Nøgletal'!$C$14)</f>
        <v>56255661.483451858</v>
      </c>
      <c r="F36" s="14" t="s">
        <v>3</v>
      </c>
      <c r="G36" s="63">
        <f>C36+E36</f>
        <v>110967841.91837224</v>
      </c>
      <c r="H36" s="14" t="s">
        <v>3</v>
      </c>
      <c r="I36" s="1"/>
    </row>
    <row r="37" spans="1:9" ht="26.25" x14ac:dyDescent="0.25">
      <c r="A37" s="1"/>
      <c r="B37" s="28" t="s">
        <v>143</v>
      </c>
      <c r="C37" s="63">
        <v>0</v>
      </c>
      <c r="D37" s="14" t="s">
        <v>3</v>
      </c>
      <c r="E37" s="63">
        <v>0</v>
      </c>
      <c r="F37" s="14" t="s">
        <v>3</v>
      </c>
      <c r="G37" s="63">
        <f>C37+E37</f>
        <v>0</v>
      </c>
      <c r="H37" s="14" t="s">
        <v>3</v>
      </c>
      <c r="I37" s="1"/>
    </row>
    <row r="38" spans="1:9" ht="26.25" x14ac:dyDescent="0.25">
      <c r="A38" s="1"/>
      <c r="B38" s="28" t="s">
        <v>142</v>
      </c>
      <c r="C38" s="63">
        <f>C36*'Fane 15. Nøgletal'!$C$26</f>
        <v>809740.27043682185</v>
      </c>
      <c r="D38" s="14" t="s">
        <v>3</v>
      </c>
      <c r="E38" s="63">
        <f>E36*'Fane 15. Nøgletal'!$C$26</f>
        <v>832583.78995508759</v>
      </c>
      <c r="F38" s="14" t="s">
        <v>3</v>
      </c>
      <c r="G38" s="63">
        <f>(G36+G37)*'Fane 15. Nøgletal'!C26</f>
        <v>1642324.0603919092</v>
      </c>
      <c r="H38" s="14" t="s">
        <v>3</v>
      </c>
      <c r="I38" s="1"/>
    </row>
    <row r="39" spans="1:9" x14ac:dyDescent="0.25">
      <c r="A39" s="1"/>
      <c r="B39" s="32"/>
      <c r="C39" s="27"/>
      <c r="D39" s="27"/>
      <c r="E39" s="27"/>
      <c r="F39" s="27"/>
      <c r="G39" s="65"/>
      <c r="H39" s="19"/>
      <c r="I39" s="1"/>
    </row>
    <row r="40" spans="1:9" x14ac:dyDescent="0.25">
      <c r="A40" s="1"/>
      <c r="B40" s="1"/>
      <c r="C40" s="1"/>
      <c r="D40" s="1"/>
      <c r="E40" s="1"/>
      <c r="F40" s="1"/>
      <c r="G40" s="66"/>
      <c r="H40" s="1"/>
      <c r="I40" s="1"/>
    </row>
    <row r="41" spans="1:9" ht="39" x14ac:dyDescent="0.25">
      <c r="A41" s="1"/>
      <c r="B41" s="20" t="s">
        <v>173</v>
      </c>
      <c r="C41" s="171" t="s">
        <v>223</v>
      </c>
      <c r="D41" s="171"/>
      <c r="E41" s="171" t="s">
        <v>224</v>
      </c>
      <c r="F41" s="171"/>
      <c r="G41" s="171" t="s">
        <v>242</v>
      </c>
      <c r="H41" s="172"/>
      <c r="I41" s="1"/>
    </row>
    <row r="42" spans="1:9" ht="26.25" x14ac:dyDescent="0.25">
      <c r="A42" s="1"/>
      <c r="B42" s="28" t="s">
        <v>74</v>
      </c>
      <c r="C42" s="63">
        <f>(SUM(C36:C37)-C38)*(1+'Fane 15. Nøgletal'!$C$14)</f>
        <v>54080318.217026368</v>
      </c>
      <c r="D42" s="14" t="s">
        <v>3</v>
      </c>
      <c r="E42" s="63">
        <f>(SUM(E36:E37)-E38)*(1+'Fane 15. Nøgletal'!$C$14)</f>
        <v>55605973.849885315</v>
      </c>
      <c r="F42" s="14" t="s">
        <v>3</v>
      </c>
      <c r="G42" s="63">
        <f>C42+E42</f>
        <v>109686292.06691168</v>
      </c>
      <c r="H42" s="14" t="s">
        <v>3</v>
      </c>
      <c r="I42" s="1"/>
    </row>
    <row r="43" spans="1:9" ht="26.25" x14ac:dyDescent="0.25">
      <c r="A43" s="1"/>
      <c r="B43" s="28" t="s">
        <v>179</v>
      </c>
      <c r="C43" s="67">
        <f>('Fane 2.1. Økonomisk ramme 2024'!C11+'Fane 2.1. Økonomisk ramme 2024'!C13+'Fane 2.1. Økonomisk ramme 2024'!C15)*(1+'Fane 15. Nøgletal'!C15)</f>
        <v>0</v>
      </c>
      <c r="D43" s="122" t="s">
        <v>3</v>
      </c>
      <c r="E43" s="67">
        <v>1369546.1810568001</v>
      </c>
      <c r="F43" s="122" t="s">
        <v>3</v>
      </c>
      <c r="G43" s="67">
        <f>C43+E43</f>
        <v>1369546.1810568001</v>
      </c>
      <c r="H43" s="122" t="s">
        <v>3</v>
      </c>
      <c r="I43" s="1"/>
    </row>
    <row r="44" spans="1:9" ht="26.25" x14ac:dyDescent="0.25">
      <c r="A44" s="1"/>
      <c r="B44" s="28" t="s">
        <v>144</v>
      </c>
      <c r="C44" s="63">
        <f>C42*'Fane 15. Nøgletal'!$C$26+C43*'Fane 15. Nøgletal'!$C$27</f>
        <v>800388.70961199026</v>
      </c>
      <c r="D44" s="14" t="s">
        <v>3</v>
      </c>
      <c r="E44" s="63">
        <f>E42*'Fane 15. Nøgletal'!$C$26+E43*'Fane 15. Nøgletal'!$C$27</f>
        <v>822968.41297830269</v>
      </c>
      <c r="F44" s="14" t="s">
        <v>3</v>
      </c>
      <c r="G44" s="63">
        <f>(G42)*'Fane 15. Nøgletal'!C26+G43*'Fane 15. Nøgletal'!C27</f>
        <v>1623357.1225902929</v>
      </c>
      <c r="H44" s="14" t="s">
        <v>3</v>
      </c>
      <c r="I44" s="1"/>
    </row>
    <row r="45" spans="1:9" x14ac:dyDescent="0.25">
      <c r="A45" s="1"/>
      <c r="B45" s="32"/>
      <c r="C45" s="27"/>
      <c r="D45" s="27"/>
      <c r="E45" s="27"/>
      <c r="F45" s="27"/>
      <c r="G45" s="65"/>
      <c r="H45" s="19"/>
      <c r="I45" s="1"/>
    </row>
    <row r="46" spans="1:9" x14ac:dyDescent="0.25">
      <c r="A46" s="1"/>
      <c r="B46" s="1"/>
      <c r="C46" s="1"/>
      <c r="D46" s="1"/>
      <c r="E46" s="1"/>
      <c r="F46" s="1"/>
      <c r="G46" s="66"/>
      <c r="H46" s="1"/>
      <c r="I46" s="1"/>
    </row>
    <row r="47" spans="1:9" ht="39" x14ac:dyDescent="0.25">
      <c r="A47" s="1"/>
      <c r="B47" s="20" t="s">
        <v>237</v>
      </c>
      <c r="C47" s="171" t="s">
        <v>223</v>
      </c>
      <c r="D47" s="171"/>
      <c r="E47" s="171" t="s">
        <v>224</v>
      </c>
      <c r="F47" s="171"/>
      <c r="G47" s="171" t="s">
        <v>242</v>
      </c>
      <c r="H47" s="172"/>
      <c r="I47" s="1"/>
    </row>
    <row r="48" spans="1:9" ht="26.25" x14ac:dyDescent="0.25">
      <c r="A48" s="1"/>
      <c r="B48" s="28" t="s">
        <v>126</v>
      </c>
      <c r="C48" s="63">
        <f>(SUM(C42:C43)-C44)*(1+'Fane 15. Nøgletal'!$C$16)</f>
        <v>57584947.811613455</v>
      </c>
      <c r="D48" s="14" t="s">
        <v>3</v>
      </c>
      <c r="E48" s="67">
        <f>(SUM(E42:E43)-E44)*(1+'Fane 15. Nøgletal'!$C$16)</f>
        <v>60689677.788695283</v>
      </c>
      <c r="F48" s="14" t="s">
        <v>3</v>
      </c>
      <c r="G48" s="63">
        <f>C48+E48</f>
        <v>118274625.60030875</v>
      </c>
      <c r="H48" s="14" t="s">
        <v>3</v>
      </c>
      <c r="I48" s="1"/>
    </row>
    <row r="49" spans="1:9" ht="26.25" x14ac:dyDescent="0.25">
      <c r="A49" s="1"/>
      <c r="B49" s="28" t="s">
        <v>303</v>
      </c>
      <c r="C49" s="63">
        <f>('Fane 2.1. Økonomisk ramme 2024'!C11+'Fane 2.1. Økonomisk ramme 2024'!C13+'Fane 2.1. Økonomisk ramme 2024'!C15)*(1+'Fane 15. Nøgletal'!C16)</f>
        <v>0</v>
      </c>
      <c r="D49" s="14" t="s">
        <v>3</v>
      </c>
      <c r="E49" s="67">
        <f>('Fane 2.1. Økonomisk ramme 2024'!E11+'Fane 2.1. Økonomisk ramme 2024'!E13+'Fane 2.1. Økonomisk ramme 2024'!E15)*(1+'Fane 15. Nøgletal'!C16)</f>
        <v>259368.94696832</v>
      </c>
      <c r="F49" s="14" t="s">
        <v>3</v>
      </c>
      <c r="G49" s="63">
        <f>C49+E49</f>
        <v>259368.94696832</v>
      </c>
      <c r="H49" s="14" t="s">
        <v>3</v>
      </c>
      <c r="I49" s="1"/>
    </row>
    <row r="50" spans="1:9" ht="26.25" x14ac:dyDescent="0.25">
      <c r="A50" s="1"/>
      <c r="B50" s="28" t="s">
        <v>304</v>
      </c>
      <c r="C50" s="63">
        <v>0</v>
      </c>
      <c r="D50" s="14" t="s">
        <v>3</v>
      </c>
      <c r="E50" s="63">
        <v>0</v>
      </c>
      <c r="F50" s="14" t="s">
        <v>3</v>
      </c>
      <c r="G50" s="63">
        <f>SUM(G48:G49)*'Fane 15. Nøgletal'!C16</f>
        <v>9577546.759419987</v>
      </c>
      <c r="H50" s="14" t="s">
        <v>3</v>
      </c>
      <c r="I50" s="1"/>
    </row>
    <row r="51" spans="1:9" x14ac:dyDescent="0.25">
      <c r="A51" s="1"/>
      <c r="B51" s="32"/>
      <c r="C51" s="27"/>
      <c r="D51" s="27"/>
      <c r="E51" s="27"/>
      <c r="F51" s="27"/>
      <c r="G51" s="65"/>
      <c r="H51" s="19"/>
      <c r="I51" s="1"/>
    </row>
    <row r="52" spans="1:9" x14ac:dyDescent="0.25">
      <c r="A52" s="1"/>
      <c r="B52" s="1"/>
      <c r="C52" s="1"/>
      <c r="D52" s="1"/>
      <c r="E52" s="1"/>
      <c r="F52" s="1"/>
      <c r="G52" s="66"/>
      <c r="H52" s="1"/>
      <c r="I52" s="1"/>
    </row>
    <row r="53" spans="1:9" ht="39" x14ac:dyDescent="0.25">
      <c r="A53" s="1"/>
      <c r="B53" s="20" t="s">
        <v>238</v>
      </c>
      <c r="C53" s="171" t="s">
        <v>223</v>
      </c>
      <c r="D53" s="171"/>
      <c r="E53" s="171" t="s">
        <v>224</v>
      </c>
      <c r="F53" s="171"/>
      <c r="G53" s="171" t="s">
        <v>242</v>
      </c>
      <c r="H53" s="172"/>
      <c r="I53" s="1"/>
    </row>
    <row r="54" spans="1:9" ht="26.25" x14ac:dyDescent="0.25">
      <c r="A54" s="1"/>
      <c r="B54" s="28" t="s">
        <v>149</v>
      </c>
      <c r="C54" s="63">
        <f>(C48+C49-C50)*(1+'Fane 15. Nøgletal'!C16)</f>
        <v>62237811.594791822</v>
      </c>
      <c r="D54" s="14" t="s">
        <v>3</v>
      </c>
      <c r="E54" s="67">
        <f>(E48+E49-E50)*(1+'Fane 15. Nøgletal'!C16)</f>
        <v>65873729.711905219</v>
      </c>
      <c r="F54" s="14" t="s">
        <v>3</v>
      </c>
      <c r="G54" s="63">
        <f>C54+E54</f>
        <v>128111541.30669704</v>
      </c>
      <c r="H54" s="14" t="s">
        <v>3</v>
      </c>
      <c r="I54" s="1"/>
    </row>
    <row r="55" spans="1:9" ht="26.25" x14ac:dyDescent="0.25">
      <c r="A55" s="1"/>
      <c r="B55" s="28" t="s">
        <v>150</v>
      </c>
      <c r="C55" s="63">
        <f>C54*'Fane 15. Nøgletal'!C28</f>
        <v>0</v>
      </c>
      <c r="D55" s="14" t="s">
        <v>3</v>
      </c>
      <c r="E55" s="63">
        <f>E54*'Fane 15. Nøgletal'!$C$27</f>
        <v>0</v>
      </c>
      <c r="F55" s="14" t="s">
        <v>3</v>
      </c>
      <c r="G55" s="63">
        <f>(G54)*'Fane 15. Nøgletal'!C27</f>
        <v>0</v>
      </c>
      <c r="H55" s="14" t="s">
        <v>3</v>
      </c>
      <c r="I55" s="1"/>
    </row>
    <row r="56" spans="1:9" x14ac:dyDescent="0.25">
      <c r="A56" s="1"/>
      <c r="B56" s="32"/>
      <c r="C56" s="27"/>
      <c r="D56" s="27"/>
      <c r="E56" s="27"/>
      <c r="F56" s="27"/>
      <c r="G56" s="65"/>
      <c r="H56" s="19"/>
      <c r="I56" s="1"/>
    </row>
    <row r="57" spans="1:9" x14ac:dyDescent="0.25">
      <c r="A57" s="1"/>
      <c r="B57" s="1"/>
      <c r="C57" s="1"/>
      <c r="D57" s="1"/>
      <c r="E57" s="1"/>
      <c r="F57" s="1"/>
      <c r="G57" s="66"/>
      <c r="H57" s="1"/>
      <c r="I57" s="1"/>
    </row>
    <row r="58" spans="1:9" ht="39" x14ac:dyDescent="0.25">
      <c r="A58" s="1"/>
      <c r="B58" s="20" t="s">
        <v>239</v>
      </c>
      <c r="C58" s="171" t="s">
        <v>223</v>
      </c>
      <c r="D58" s="171"/>
      <c r="E58" s="171" t="s">
        <v>224</v>
      </c>
      <c r="F58" s="171"/>
      <c r="G58" s="171" t="s">
        <v>242</v>
      </c>
      <c r="H58" s="172"/>
      <c r="I58" s="1"/>
    </row>
    <row r="59" spans="1:9" ht="26.25" x14ac:dyDescent="0.25">
      <c r="A59" s="1"/>
      <c r="B59" s="28" t="s">
        <v>162</v>
      </c>
      <c r="C59" s="63">
        <f>(C54-C55)*(1+'Fane 15. Nøgletal'!C16)</f>
        <v>67266626.771651</v>
      </c>
      <c r="D59" s="14" t="s">
        <v>3</v>
      </c>
      <c r="E59" s="67">
        <f>(E54-E55)*(1+'Fane 15. Nøgletal'!C16)</f>
        <v>71196327.072627157</v>
      </c>
      <c r="F59" s="14" t="s">
        <v>3</v>
      </c>
      <c r="G59" s="63">
        <f>C59+E59</f>
        <v>138462953.84427816</v>
      </c>
      <c r="H59" s="14" t="s">
        <v>3</v>
      </c>
      <c r="I59" s="1"/>
    </row>
    <row r="60" spans="1:9" ht="26.25" x14ac:dyDescent="0.25">
      <c r="A60" s="1"/>
      <c r="B60" s="28" t="s">
        <v>163</v>
      </c>
      <c r="C60" s="63">
        <f>C59*'Fane 15. Nøgletal'!C28</f>
        <v>0</v>
      </c>
      <c r="D60" s="14" t="s">
        <v>3</v>
      </c>
      <c r="E60" s="63">
        <f>E59*'Fane 15. Nøgletal'!$C$27</f>
        <v>0</v>
      </c>
      <c r="F60" s="14" t="s">
        <v>3</v>
      </c>
      <c r="G60" s="63">
        <f>(G59)*'Fane 15. Nøgletal'!C27</f>
        <v>0</v>
      </c>
      <c r="H60" s="14" t="s">
        <v>3</v>
      </c>
      <c r="I60" s="1"/>
    </row>
    <row r="61" spans="1:9" x14ac:dyDescent="0.25">
      <c r="A61" s="1"/>
      <c r="B61" s="32"/>
      <c r="C61" s="27"/>
      <c r="D61" s="27"/>
      <c r="E61" s="27"/>
      <c r="F61" s="27"/>
      <c r="G61" s="27"/>
      <c r="H61" s="19"/>
      <c r="I61" s="1"/>
    </row>
    <row r="62" spans="1:9" ht="39.75" customHeight="1" x14ac:dyDescent="0.25">
      <c r="A62" s="1"/>
      <c r="B62" s="1"/>
      <c r="C62" s="1"/>
      <c r="D62" s="1"/>
      <c r="E62" s="1"/>
      <c r="F62" s="1"/>
      <c r="G62" s="1"/>
      <c r="H62" s="1"/>
      <c r="I62" s="1"/>
    </row>
    <row r="63" spans="1:9" ht="39" x14ac:dyDescent="0.25">
      <c r="A63" s="1"/>
      <c r="B63" s="20" t="s">
        <v>305</v>
      </c>
      <c r="C63" s="171" t="s">
        <v>223</v>
      </c>
      <c r="D63" s="171"/>
      <c r="E63" s="171" t="s">
        <v>224</v>
      </c>
      <c r="F63" s="171"/>
      <c r="G63" s="171" t="s">
        <v>242</v>
      </c>
      <c r="H63" s="172"/>
      <c r="I63" s="1"/>
    </row>
    <row r="64" spans="1:9" ht="26.25" x14ac:dyDescent="0.25">
      <c r="A64" s="1"/>
      <c r="B64" s="28" t="s">
        <v>306</v>
      </c>
      <c r="C64" s="63">
        <f>(C59-C60)*(1+'Fane 15. Nøgletal'!$C16)</f>
        <v>72701770.214800403</v>
      </c>
      <c r="D64" s="14" t="s">
        <v>3</v>
      </c>
      <c r="E64" s="67">
        <f>(E59-E60)*(1+'Fane 15. Nøgletal'!C16)</f>
        <v>76948990.300095424</v>
      </c>
      <c r="F64" s="14" t="s">
        <v>3</v>
      </c>
      <c r="G64" s="63">
        <f>C64+E64</f>
        <v>149650760.51489583</v>
      </c>
      <c r="H64" s="14" t="s">
        <v>3</v>
      </c>
      <c r="I64" s="1"/>
    </row>
    <row r="65" spans="1:9" ht="26.25" x14ac:dyDescent="0.25">
      <c r="A65" s="1"/>
      <c r="B65" s="28" t="s">
        <v>307</v>
      </c>
      <c r="C65" s="63">
        <f>C64*'Fane 15. Nøgletal'!$C$27</f>
        <v>0</v>
      </c>
      <c r="D65" s="14" t="s">
        <v>3</v>
      </c>
      <c r="E65" s="63">
        <f>E64*'Fane 15. Nøgletal'!$C$27</f>
        <v>0</v>
      </c>
      <c r="F65" s="14" t="s">
        <v>3</v>
      </c>
      <c r="G65" s="63">
        <f>(G64)*'Fane 15. Nøgletal'!C32</f>
        <v>0</v>
      </c>
      <c r="H65" s="14" t="s">
        <v>3</v>
      </c>
      <c r="I65" s="1"/>
    </row>
    <row r="66" spans="1:9" x14ac:dyDescent="0.25">
      <c r="A66" s="1"/>
      <c r="B66" s="32"/>
      <c r="C66" s="27"/>
      <c r="D66" s="27"/>
      <c r="E66" s="27"/>
      <c r="F66" s="27"/>
      <c r="G66" s="27"/>
      <c r="H66" s="19"/>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sheetData>
  <sheetProtection algorithmName="SHA-512" hashValue="+2QpM3MS93ePvgpk6IOvdMDFGXkJWnGH6+coDwbD36Y7OOUuLnxMrw8nQJzXtJ8ioZK37u/dC/xZx3rE/PuHNw==" saltValue="ToYiQDQQ030gs462p9wKwg==" spinCount="100000" sheet="1" objects="1" scenarios="1"/>
  <mergeCells count="34">
    <mergeCell ref="C53:D53"/>
    <mergeCell ref="C17:D17"/>
    <mergeCell ref="E17:F17"/>
    <mergeCell ref="G17:H17"/>
    <mergeCell ref="B1:H3"/>
    <mergeCell ref="E53:F53"/>
    <mergeCell ref="G53:H53"/>
    <mergeCell ref="C23:D23"/>
    <mergeCell ref="E23:F23"/>
    <mergeCell ref="G23:H23"/>
    <mergeCell ref="C29:D29"/>
    <mergeCell ref="E29:F29"/>
    <mergeCell ref="G29:H29"/>
    <mergeCell ref="C35:D35"/>
    <mergeCell ref="E35:F35"/>
    <mergeCell ref="G35:H35"/>
    <mergeCell ref="C41:D41"/>
    <mergeCell ref="E41:F41"/>
    <mergeCell ref="G41:H41"/>
    <mergeCell ref="C47:D47"/>
    <mergeCell ref="E47:F47"/>
    <mergeCell ref="G47:H47"/>
    <mergeCell ref="C5:D5"/>
    <mergeCell ref="E5:F5"/>
    <mergeCell ref="G5:H5"/>
    <mergeCell ref="C10:D10"/>
    <mergeCell ref="E10:F10"/>
    <mergeCell ref="G10:H10"/>
    <mergeCell ref="C63:D63"/>
    <mergeCell ref="E63:F63"/>
    <mergeCell ref="G63:H63"/>
    <mergeCell ref="C58:D58"/>
    <mergeCell ref="E58:F58"/>
    <mergeCell ref="G58:H5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5"/>
  <sheetViews>
    <sheetView showGridLines="0" view="pageLayout" zoomScaleNormal="100" workbookViewId="0">
      <selection activeCell="B18" sqref="B18:G22"/>
    </sheetView>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73" t="s">
        <v>84</v>
      </c>
      <c r="C3" s="173"/>
      <c r="D3" s="173"/>
      <c r="E3" s="173"/>
      <c r="F3" s="173"/>
      <c r="G3" s="173"/>
      <c r="H3" s="1"/>
    </row>
    <row r="4" spans="1:8" ht="15" customHeight="1" x14ac:dyDescent="0.25">
      <c r="A4" s="1"/>
      <c r="B4" s="173"/>
      <c r="C4" s="173"/>
      <c r="D4" s="173"/>
      <c r="E4" s="173"/>
      <c r="F4" s="173"/>
      <c r="G4" s="17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89" t="s">
        <v>235</v>
      </c>
      <c r="C8" s="190"/>
      <c r="D8" s="190"/>
      <c r="E8" s="190"/>
      <c r="F8" s="190"/>
      <c r="G8" s="191"/>
      <c r="H8" s="1"/>
    </row>
    <row r="9" spans="1:8" x14ac:dyDescent="0.25">
      <c r="A9" s="1"/>
      <c r="B9" s="183" t="s">
        <v>264</v>
      </c>
      <c r="C9" s="184"/>
      <c r="D9" s="184"/>
      <c r="E9" s="184"/>
      <c r="F9" s="185"/>
      <c r="G9" s="22">
        <v>0</v>
      </c>
      <c r="H9" s="1"/>
    </row>
    <row r="10" spans="1:8" x14ac:dyDescent="0.25">
      <c r="A10" s="1"/>
      <c r="B10" s="32"/>
      <c r="C10" s="27"/>
      <c r="D10" s="27"/>
      <c r="E10" s="27"/>
      <c r="F10" s="27"/>
      <c r="G10" s="19"/>
      <c r="H10" s="1"/>
    </row>
    <row r="11" spans="1:8" ht="29.25" customHeight="1" x14ac:dyDescent="0.25">
      <c r="A11" s="1"/>
      <c r="B11" s="186" t="s">
        <v>263</v>
      </c>
      <c r="C11" s="187"/>
      <c r="D11" s="187"/>
      <c r="E11" s="187"/>
      <c r="F11" s="187"/>
      <c r="G11" s="188"/>
      <c r="H11" s="1"/>
    </row>
    <row r="12" spans="1:8" x14ac:dyDescent="0.25">
      <c r="A12" s="1"/>
      <c r="B12" s="1"/>
      <c r="C12" s="1"/>
      <c r="D12" s="1"/>
      <c r="E12" s="1"/>
      <c r="F12" s="1"/>
      <c r="G12" s="1"/>
      <c r="H12" s="1"/>
    </row>
    <row r="13" spans="1:8" x14ac:dyDescent="0.25">
      <c r="A13" s="1"/>
      <c r="B13" s="189" t="s">
        <v>236</v>
      </c>
      <c r="C13" s="190"/>
      <c r="D13" s="190"/>
      <c r="E13" s="190"/>
      <c r="F13" s="190"/>
      <c r="G13" s="191"/>
      <c r="H13" s="1"/>
    </row>
    <row r="14" spans="1:8" x14ac:dyDescent="0.25">
      <c r="A14" s="1"/>
      <c r="B14" s="183" t="s">
        <v>264</v>
      </c>
      <c r="C14" s="184"/>
      <c r="D14" s="184"/>
      <c r="E14" s="184"/>
      <c r="F14" s="185"/>
      <c r="G14" s="35">
        <v>7.7072389285230102E-3</v>
      </c>
      <c r="H14" s="1"/>
    </row>
    <row r="15" spans="1:8" x14ac:dyDescent="0.25">
      <c r="A15" s="1"/>
      <c r="B15" s="32"/>
      <c r="C15" s="27"/>
      <c r="D15" s="27"/>
      <c r="E15" s="27"/>
      <c r="F15" s="27"/>
      <c r="G15" s="19"/>
      <c r="H15" s="1"/>
    </row>
    <row r="16" spans="1:8" ht="26.25" customHeight="1" x14ac:dyDescent="0.25">
      <c r="A16" s="1"/>
      <c r="B16" s="186" t="s">
        <v>263</v>
      </c>
      <c r="C16" s="187"/>
      <c r="D16" s="187"/>
      <c r="E16" s="187"/>
      <c r="F16" s="187"/>
      <c r="G16" s="188"/>
      <c r="H16" s="1"/>
    </row>
    <row r="17" spans="1:8" x14ac:dyDescent="0.25">
      <c r="A17" s="1"/>
      <c r="B17" s="1"/>
      <c r="C17" s="1"/>
      <c r="D17" s="1"/>
      <c r="E17" s="1"/>
      <c r="F17" s="1"/>
      <c r="G17" s="1"/>
      <c r="H17" s="1"/>
    </row>
    <row r="18" spans="1:8" x14ac:dyDescent="0.25">
      <c r="A18" s="1"/>
      <c r="B18" s="47"/>
      <c r="C18" s="47"/>
      <c r="D18" s="47"/>
      <c r="E18" s="47"/>
      <c r="F18" s="47"/>
      <c r="G18" s="47"/>
      <c r="H18" s="1"/>
    </row>
    <row r="19" spans="1:8" x14ac:dyDescent="0.25">
      <c r="A19" s="1"/>
      <c r="B19" s="180"/>
      <c r="C19" s="180"/>
      <c r="D19" s="180"/>
      <c r="E19" s="180"/>
      <c r="F19" s="180"/>
      <c r="G19" s="180"/>
      <c r="H19" s="1"/>
    </row>
    <row r="20" spans="1:8" x14ac:dyDescent="0.25">
      <c r="A20" s="1"/>
      <c r="B20" s="181"/>
      <c r="C20" s="181"/>
      <c r="D20" s="181"/>
      <c r="E20" s="181"/>
      <c r="F20" s="181"/>
      <c r="G20" s="143"/>
      <c r="H20" s="1"/>
    </row>
    <row r="21" spans="1:8" x14ac:dyDescent="0.25">
      <c r="A21" s="1"/>
      <c r="B21" s="54"/>
      <c r="C21" s="54"/>
      <c r="D21" s="54"/>
      <c r="E21" s="54"/>
      <c r="F21" s="54"/>
      <c r="G21" s="54"/>
      <c r="H21" s="1"/>
    </row>
    <row r="22" spans="1:8" ht="29.25" customHeight="1" x14ac:dyDescent="0.25">
      <c r="A22" s="1"/>
      <c r="B22" s="182"/>
      <c r="C22" s="182"/>
      <c r="D22" s="182"/>
      <c r="E22" s="182"/>
      <c r="F22" s="182"/>
      <c r="G22" s="182"/>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Hs0LRSvEwVAPqFVdEZd1uSrsz37B4WuGngkGJhGaPKsIiZDrqLi8m4gKpdkts/TyRp6Qbhy+mDO8GU6zSpIbzw==" saltValue="ItS9+lvPbACHlHoKf80Xsw==" spinCount="100000" sheet="1" objects="1" scenarios="1"/>
  <mergeCells count="10">
    <mergeCell ref="B11:G11"/>
    <mergeCell ref="B3:G4"/>
    <mergeCell ref="B8:G8"/>
    <mergeCell ref="B9:F9"/>
    <mergeCell ref="B13:G13"/>
    <mergeCell ref="B19:G19"/>
    <mergeCell ref="B20:F20"/>
    <mergeCell ref="B22:G22"/>
    <mergeCell ref="B14:F14"/>
    <mergeCell ref="B16:G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2016-06-14T12:57:30Z</cp:lastPrinted>
  <dcterms:created xsi:type="dcterms:W3CDTF">2016-06-02T08:51:18Z</dcterms:created>
  <dcterms:modified xsi:type="dcterms:W3CDTF">2024-04-16T12:43:47Z</dcterms:modified>
</cp:coreProperties>
</file>