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E:\VAND\Sagsbehandling\Drikkevand\Midtfyns Vandforsyning a.m.b.a. (V133)\ØR2023\"/>
    </mc:Choice>
  </mc:AlternateContent>
  <bookViews>
    <workbookView xWindow="3105" yWindow="990" windowWidth="12735" windowHeight="4620" tabRatio="872"/>
  </bookViews>
  <sheets>
    <sheet name="1. Forside" sheetId="1" r:id="rId1"/>
    <sheet name="Fane 2.1. Økonomisk ramme 2023" sheetId="2" r:id="rId2"/>
    <sheet name="Fane 2.2. Økonomisk ramme 2024" sheetId="15" r:id="rId3"/>
    <sheet name="Fane 2.3. Økonomisk ramme 2025" sheetId="22" r:id="rId4"/>
    <sheet name="Fane 2.4. Økonomisk ramme 2026" sheetId="23" r:id="rId5"/>
    <sheet name="Fane 3. Omkostninger i ØR2022" sheetId="27" r:id="rId6"/>
    <sheet name="Fane 4.1. Gen. krav - drift" sheetId="30" r:id="rId7"/>
    <sheet name="Fane 4.2. Gen. krav - anlæg" sheetId="36" r:id="rId8"/>
    <sheet name="Fane 5. Individuelt eff. krav" sheetId="31" r:id="rId9"/>
    <sheet name="Fane 6. Ikke-påvirkelige omk." sheetId="19" r:id="rId10"/>
    <sheet name="Fane 7. Kontrol af ØR2021" sheetId="32"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s>
  <calcPr calcId="162913" calcMode="manual"/>
</workbook>
</file>

<file path=xl/calcChain.xml><?xml version="1.0" encoding="utf-8"?>
<calcChain xmlns="http://schemas.openxmlformats.org/spreadsheetml/2006/main">
  <c r="E32" i="27" l="1"/>
  <c r="C19" i="23"/>
  <c r="C19" i="22"/>
  <c r="C19" i="15"/>
  <c r="C31" i="2"/>
  <c r="G18" i="40" l="1"/>
  <c r="E25" i="32" l="1"/>
  <c r="E29" i="32" s="1"/>
  <c r="E31" i="32" s="1"/>
  <c r="C17" i="15" l="1"/>
  <c r="C29" i="2"/>
  <c r="F10" i="11"/>
  <c r="E12" i="39" l="1"/>
  <c r="C12" i="39"/>
  <c r="E11" i="29"/>
  <c r="E12" i="29" s="1"/>
  <c r="C14" i="2" s="1"/>
  <c r="C11" i="29"/>
  <c r="J11" i="11"/>
  <c r="H11" i="11"/>
  <c r="C14" i="19"/>
  <c r="C15" i="19" l="1"/>
  <c r="F11" i="11" l="1"/>
  <c r="E10" i="37" s="1"/>
  <c r="C10" i="37"/>
  <c r="C12" i="37" s="1"/>
  <c r="C13" i="37" s="1"/>
  <c r="C15" i="23" l="1"/>
  <c r="C15" i="22" l="1"/>
  <c r="C15" i="15"/>
  <c r="C12" i="29"/>
  <c r="G36" i="36" l="1"/>
  <c r="G36" i="30"/>
  <c r="G6" i="30" l="1"/>
  <c r="E13" i="39" l="1"/>
  <c r="C13" i="39"/>
  <c r="C23" i="2" s="1"/>
  <c r="C25" i="2" s="1"/>
  <c r="G10" i="30" l="1"/>
  <c r="G12" i="30" s="1"/>
  <c r="E12" i="37" l="1"/>
  <c r="E13" i="37" s="1"/>
  <c r="E13" i="21" l="1"/>
  <c r="E14" i="21" s="1"/>
  <c r="C13" i="21"/>
  <c r="C14" i="21" s="1"/>
  <c r="C11" i="2" l="1"/>
  <c r="C12" i="2"/>
  <c r="C24" i="2" l="1"/>
  <c r="C26" i="2" l="1"/>
  <c r="C27" i="2" s="1"/>
  <c r="G6" i="36"/>
  <c r="G10" i="36" s="1"/>
  <c r="G12" i="36" l="1"/>
  <c r="G16" i="36" s="1"/>
  <c r="G16" i="30"/>
  <c r="G19" i="30" s="1"/>
  <c r="G19" i="36" l="1"/>
  <c r="G23" i="30"/>
  <c r="G25" i="30" s="1"/>
  <c r="G23" i="36" l="1"/>
  <c r="G25" i="36" s="1"/>
  <c r="G29" i="36" s="1"/>
  <c r="G29" i="30"/>
  <c r="G31" i="30" s="1"/>
  <c r="G31" i="36" l="1"/>
  <c r="G35" i="36" s="1"/>
  <c r="G35" i="30" l="1"/>
  <c r="G37" i="30" l="1"/>
  <c r="C9" i="2"/>
  <c r="C13" i="2"/>
  <c r="G42" i="30" l="1"/>
  <c r="G41" i="30"/>
  <c r="C21" i="2"/>
  <c r="G43" i="30" l="1"/>
  <c r="C17" i="2" l="1"/>
  <c r="G47" i="30"/>
  <c r="G48" i="30" s="1"/>
  <c r="C10" i="2"/>
  <c r="G42" i="36" s="1"/>
  <c r="G37" i="36"/>
  <c r="G41" i="36" s="1"/>
  <c r="G52" i="30" l="1"/>
  <c r="C11" i="15" l="1"/>
  <c r="G53" i="30"/>
  <c r="G57" i="30" s="1"/>
  <c r="G58" i="30" s="1"/>
  <c r="E20" i="27"/>
  <c r="G43" i="36"/>
  <c r="C18" i="2" s="1"/>
  <c r="C8" i="2" l="1"/>
  <c r="C15" i="2" s="1"/>
  <c r="C16" i="2" s="1"/>
  <c r="C19" i="2" s="1"/>
  <c r="C8" i="15" s="1"/>
  <c r="E33" i="27"/>
  <c r="C11" i="22"/>
  <c r="G47" i="36"/>
  <c r="G48" i="36" l="1"/>
  <c r="G52" i="36" s="1"/>
  <c r="G53" i="36" s="1"/>
  <c r="C9" i="15"/>
  <c r="C10" i="15" s="1"/>
  <c r="C32" i="2"/>
  <c r="C11" i="23"/>
  <c r="C12" i="15" l="1"/>
  <c r="C13" i="15" s="1"/>
  <c r="C20" i="15" s="1"/>
  <c r="G57" i="36"/>
  <c r="G58" i="36" s="1"/>
  <c r="C12" i="22" l="1"/>
  <c r="C8" i="22"/>
  <c r="C9" i="22" s="1"/>
  <c r="C10" i="22" s="1"/>
  <c r="C13" i="22" s="1"/>
  <c r="C20" i="22" s="1"/>
  <c r="C12" i="23"/>
  <c r="C8" i="23" l="1"/>
  <c r="C9" i="23" l="1"/>
  <c r="C10" i="23" s="1"/>
  <c r="C13" i="23" s="1"/>
  <c r="C20" i="23" s="1"/>
</calcChain>
</file>

<file path=xl/sharedStrings.xml><?xml version="1.0" encoding="utf-8"?>
<sst xmlns="http://schemas.openxmlformats.org/spreadsheetml/2006/main" count="509" uniqueCount="254">
  <si>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</si>
  <si>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</si>
  <si>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</si>
  <si>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</si>
  <si>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</si>
  <si>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</si>
  <si>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</si>
  <si>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</si>
  <si>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</si>
  <si>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</si>
  <si>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</si>
  <si>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</si>
  <si>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</si>
  <si>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</si>
  <si>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</si>
  <si>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</si>
  <si>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</si>
  <si>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</si>
  <si>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</si>
  <si>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</si>
  <si>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</si>
  <si>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</si>
  <si>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Videreførte omkostninger fra den økonomiske ramme for 2021</t>
  </si>
  <si>
    <t>Generelt effektiviseringskrav - Drift</t>
  </si>
  <si>
    <t>Generelt effektiviseringskrav - Anlæg</t>
  </si>
  <si>
    <t>Bortfald eller nedsættelse af omkostninger - Anlæg</t>
  </si>
  <si>
    <t>Bortfald eller nedsættelse af omkostninger - Drift</t>
  </si>
  <si>
    <t>Økonomisk ramme for 2022</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</si>
  <si>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</si>
  <si>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</si>
  <si>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</si>
  <si>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</si>
  <si>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</si>
  <si>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</si>
  <si>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</si>
  <si>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</si>
  <si>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</si>
  <si>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</si>
  <si>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</si>
  <si>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</si>
  <si>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</si>
  <si>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Nye driftsomkostninger til de økonomiske rammer for 2018</t>
  </si>
  <si>
    <t>Generelt effektiviseringskrav til driftsomkostningerne i ØR18</t>
  </si>
  <si>
    <t>Base for driftsomkostninger til de økonomiske rammer for 2019</t>
  </si>
  <si>
    <t>Nye driftsomkostninger til de økonomiske rammer for 2019</t>
  </si>
  <si>
    <t>Generelt effektiviseringskrav til driftsomkostningerne i ØR19</t>
  </si>
  <si>
    <t>Base for driftsomkostninger til de økonomiske rammer for 2020</t>
  </si>
  <si>
    <t>Nye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</si>
  <si>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</si>
  <si>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</si>
  <si>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</si>
  <si>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</si>
  <si>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</si>
  <si>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</si>
  <si>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</si>
  <si>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</si>
  <si>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</si>
  <si>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</si>
  <si>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</si>
  <si>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</si>
  <si>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</si>
  <si>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</si>
  <si>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</si>
  <si>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</si>
  <si>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</si>
  <si>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</si>
  <si>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</si>
  <si>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</si>
  <si>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</si>
  <si>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</si>
  <si>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</si>
  <si>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</si>
  <si>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</si>
  <si>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</si>
  <si>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</si>
  <si>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</si>
  <si>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</si>
  <si>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</si>
  <si>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</si>
  <si>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</si>
  <si>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</si>
  <si>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</si>
  <si>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</si>
  <si>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</si>
  <si>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Økonomisk ramme for 2023</t>
  </si>
  <si>
    <t>Bortfald eller nedsættelse fra og med de økonomiske rammer for 2023</t>
  </si>
  <si>
    <t>Generelt effektiviseringskrav på drift</t>
  </si>
  <si>
    <t>Generelt effektiviseringskrav på anlæg</t>
  </si>
  <si>
    <t>Engangstillæg til de økonomiske rammer for 2023</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</si>
  <si>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</si>
  <si>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</si>
  <si>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</si>
  <si>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</si>
  <si>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</si>
  <si>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</si>
  <si>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</si>
  <si>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</si>
  <si>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</si>
  <si>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</si>
  <si>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</si>
  <si>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</si>
  <si>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</si>
  <si>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</si>
  <si>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</si>
  <si>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</si>
  <si>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</si>
  <si>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</si>
  <si>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</si>
  <si>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</si>
  <si>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</si>
  <si>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</si>
  <si>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</si>
  <si>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</si>
  <si>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</si>
  <si>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</si>
  <si>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</si>
  <si>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</si>
  <si>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</si>
  <si>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</si>
  <si>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Engangstillæg i alt i 2023-prisniveau</t>
  </si>
  <si>
    <t>Generelt effektiviseringskrav til brug for nye anlægsomkostninger i ØR2021</t>
  </si>
  <si>
    <t>Nye driftsomkostninger til de økonomiske rammer for 2021</t>
  </si>
  <si>
    <t>Base for driftsomkostninger til de vejledende økonomiske rammer for 2024</t>
  </si>
  <si>
    <t>Nye anlægsomkostninger til de økonomiske rammer for 2021</t>
  </si>
  <si>
    <t>Base for anlægsomkostninger til de vejledende økonomiske rammer for 2024</t>
  </si>
  <si>
    <t>Vejledende generelt effektiviseringskrav til anlægsomkostningerne i ØR24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</si>
  <si>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</si>
  <si>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</si>
  <si>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</si>
  <si>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</si>
  <si>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</si>
  <si>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</si>
  <si>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</si>
  <si>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</si>
  <si>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</si>
  <si>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</si>
  <si>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</si>
  <si>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Vejledende økonomisk ramme for 2025</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</si>
  <si>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</si>
  <si>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</si>
  <si>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</si>
  <si>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</si>
  <si>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</si>
  <si>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</si>
  <si>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</si>
  <si>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</si>
  <si>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</si>
  <si>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</si>
  <si>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Nye tillæg i alt i 2021-prisniveau</t>
  </si>
  <si>
    <t>Tilknyttet virksomhed under hovedvirksomheden i alt (2021-prisniveau)</t>
  </si>
  <si>
    <t>Prisudvikling til brug for nye omkostninger i ØR2022</t>
  </si>
  <si>
    <t>Generelt effektiviseringskrav til brug for nye anlægsomkostninger i ØR2022</t>
  </si>
  <si>
    <t>Nye driftsomkostninger til de økonomiske rammer for 2022</t>
  </si>
  <si>
    <t xml:space="preserve">Indtægter fra tilbagebetalt skat eller sambeskatningsbidrag som følge af skattesagen </t>
  </si>
  <si>
    <t xml:space="preserve">Nedsættelse af økonomisk ramme som følge af skattesagen </t>
  </si>
  <si>
    <t>Tidligere opgjorte kontrol med overholdelse af økonomiske rammer</t>
  </si>
  <si>
    <t>Over/underdækning i 2019</t>
  </si>
  <si>
    <t>Allerede indregnet fradrag i jeres økonomiske rammer</t>
  </si>
  <si>
    <t xml:space="preserve">Note: Opgørelsen af indregnede fradrag er taget fra jeres tidligere fremsendte økonomiske rammer og statusmeddelelser. I kan derfor ikke komme med høringssvar til denne opgørelse. </t>
  </si>
  <si>
    <t>Korrektion af tidligere rammer</t>
  </si>
  <si>
    <t>Engangskorrektion vedrørende erstatninger</t>
  </si>
  <si>
    <t>Samlet økonomisk ramme for 2023</t>
  </si>
  <si>
    <t>Vejledende økonomisk ramme for 2026</t>
  </si>
  <si>
    <t>Omkostninger i ØR2022</t>
  </si>
  <si>
    <t>Kontrol af den økonomiske ramme for 2021</t>
  </si>
  <si>
    <t>Fane 2.1: Samlet økonomisk ramme for 2023</t>
  </si>
  <si>
    <t>Fane 2.2: Samlet økonomisk ramme for 2024</t>
  </si>
  <si>
    <t>Fane 2.3: Samlet økonomisk ramme for 2025</t>
  </si>
  <si>
    <t>Fane 2.4: Samlet økonomisk ramme for 2026</t>
  </si>
  <si>
    <t>Videreførte omkostninger fra den økonomiske ramme for 2025</t>
  </si>
  <si>
    <t>Økonomisk ramme for 2026</t>
  </si>
  <si>
    <t>Fane 3: Videreførte omkostninger fra den økonomiske ramme for 2022</t>
  </si>
  <si>
    <t>Oversigt over den økonomiske ramme for 2022</t>
  </si>
  <si>
    <t xml:space="preserve">Note: Denne opgørelse er taget fra jeres afgørelse for den økonomiske ramme for 2022. I kan derfor ikke komme med høringssvar til denne opgørelse. </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</si>
  <si>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</si>
  <si>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</si>
  <si>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</si>
  <si>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</si>
  <si>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</si>
  <si>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</si>
  <si>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</si>
  <si>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Faktiske ikke-påvirkelige omkostninger i 2021</t>
  </si>
  <si>
    <t>Ikke-påvirkelige omkostninger i 2021-prisniveau</t>
  </si>
  <si>
    <t>Ikke-påvirkelige omkostninger i 2023-prisniveau</t>
  </si>
  <si>
    <t>Fane 7: Kontrol med overholdelse af den økonomiske ramme for 2021</t>
  </si>
  <si>
    <t>Over/underdækning i 2020</t>
  </si>
  <si>
    <t>Kontrol med overholdelse af den økonomiske ramme for 2021</t>
  </si>
  <si>
    <t>Faktiske indtægter i 2021</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</si>
  <si>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</si>
  <si>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</si>
  <si>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</si>
  <si>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</si>
  <si>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</si>
  <si>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Anlægsprojekter igangsat senest den 1. marts 2016 i alt</t>
  </si>
  <si>
    <t>Til økonomiske rammer for 2023-2024</t>
  </si>
  <si>
    <t>Engangstillæg i alt i 2021-prisniveau</t>
  </si>
  <si>
    <t>Bortfald eller nedsættelse i alt i 2021-prisniveau</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</si>
  <si>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</si>
  <si>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</si>
  <si>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</si>
  <si>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</si>
  <si>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</si>
  <si>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Beregningen af jeres individuelle effektiviseringskrav fremgår af metodepapir samt bilag til benchmarkingmodellen 2023</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</si>
  <si>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</si>
  <si>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</si>
  <si>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</si>
  <si>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</si>
  <si>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</si>
  <si>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</si>
  <si>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</si>
  <si>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</si>
  <si>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</si>
  <si>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Omkostninger i 2021</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</si>
  <si>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</si>
  <si>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</si>
  <si>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</si>
  <si>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</si>
  <si>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</si>
  <si>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</si>
  <si>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</si>
  <si>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</si>
  <si>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</si>
  <si>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</si>
  <si>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</si>
  <si>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</si>
  <si>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</si>
  <si>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</si>
  <si>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</si>
  <si>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 økonomiske ramme i årene</t>
  </si>
  <si>
    <t>Samlet tilbagebetaling</t>
  </si>
  <si>
    <t>Ingen anlægsprojekter</t>
  </si>
  <si>
    <t>Afgift for ledningsført vand</t>
  </si>
  <si>
    <t>Afgift til Forsyningssekretariatet</t>
  </si>
  <si>
    <t>Ejendomsskat</t>
  </si>
  <si>
    <t>Erstatninger</t>
  </si>
  <si>
    <t>Korrigeret over/underdækning i 2019</t>
  </si>
  <si>
    <t>Indregnet fradrag i den økonomiske ramme for 2023</t>
  </si>
  <si>
    <t>Indregnet fradrag i den økonomiske ramme for 2024</t>
  </si>
  <si>
    <t>Den økonomiske ramme for 2021</t>
  </si>
  <si>
    <t>Til indregning i de økonomiske rammer for 2023-2024</t>
  </si>
  <si>
    <t>Nye tillæg</t>
  </si>
  <si>
    <t>Ingen engangstillæg</t>
  </si>
  <si>
    <t>Ingen tilknyttet virksomhed under hovedvirksomheden</t>
  </si>
  <si>
    <t>Ingen bortfald eller nedsættelse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</si>
  <si>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</si>
  <si>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</si>
  <si>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</si>
  <si>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</si>
  <si>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</si>
  <si>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</si>
  <si>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</si>
  <si>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</si>
  <si>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Note: Opgørelsen af overholdelse af de økonomiske rammer og korrektioner heraf er taget fra jeres tidligere fremsendte økonomiske rammer og statusmeddelelser. I kan derfor ikke komme med høringssvar til denne opgørelse. Positive værdier er udtryk for at rammerne er overholdt (underdækning) og negative værdier er udtryk for at rammerne ikke er overholdt (overdækning). Korrigeret over/underdækning i 2020 tager højde for evt. modregninger af over/underdækninger fra tidligere år.</t>
  </si>
  <si>
    <t>Resultat af kontrol med overholdelse af den økonomiske ramme for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</si>
</sst>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_ * #,##0_ ;_ * \-#,##0_ ;_ * &quot;-&quot;??_ ;_ @_ "/>
    <numFmt numFmtId="166" formatCode="##,##0"/>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b/>
      <sz val="10"/>
      <color theme="1"/>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5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10" fontId="8" fillId="8" borderId="1" xfId="0" applyNumberFormat="1" applyFont="1" applyFill="1" applyBorder="1" applyProtection="1"/>
    <xf numFmtId="1" fontId="8" fillId="0" borderId="1" xfId="0" applyNumberFormat="1" applyFont="1" applyFill="1" applyBorder="1" applyProtection="1"/>
    <xf numFmtId="3" fontId="0" fillId="2" borderId="0" xfId="0" applyNumberFormat="1" applyFill="1" applyProtection="1"/>
    <xf numFmtId="3" fontId="14" fillId="4" borderId="1" xfId="0" applyNumberFormat="1" applyFont="1" applyFill="1" applyBorder="1" applyProtection="1"/>
    <xf numFmtId="0" fontId="8" fillId="4" borderId="2" xfId="0" applyFont="1" applyFill="1" applyBorder="1" applyAlignment="1" applyProtection="1"/>
    <xf numFmtId="0" fontId="14" fillId="4" borderId="1" xfId="0" applyFont="1" applyFill="1" applyBorder="1" applyAlignment="1" applyProtection="1">
      <alignment wrapText="1"/>
    </xf>
    <xf numFmtId="3" fontId="7" fillId="3" borderId="6" xfId="0" applyNumberFormat="1" applyFont="1" applyFill="1" applyBorder="1" applyAlignment="1" applyProtection="1"/>
    <xf numFmtId="1" fontId="8" fillId="8" borderId="1" xfId="1" applyNumberFormat="1" applyFont="1" applyFill="1" applyBorder="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3" fontId="8" fillId="4" borderId="2" xfId="0" applyNumberFormat="1" applyFont="1" applyFill="1" applyBorder="1" applyAlignment="1" applyProtection="1">
      <alignment horizontal="right"/>
    </xf>
    <xf numFmtId="166" fontId="8" fillId="8" borderId="1" xfId="1" applyNumberFormat="1" applyFont="1" applyFill="1" applyBorder="1" applyProtection="1"/>
    <xf numFmtId="166" fontId="7" fillId="3" borderId="6" xfId="1" applyNumberFormat="1" applyFont="1" applyFill="1" applyBorder="1" applyAlignment="1" applyProtection="1"/>
    <xf numFmtId="166" fontId="0" fillId="2" borderId="0" xfId="1" applyNumberFormat="1" applyFont="1" applyFill="1" applyProtection="1"/>
    <xf numFmtId="166" fontId="7" fillId="3" borderId="6" xfId="0" applyNumberFormat="1" applyFont="1" applyFill="1" applyBorder="1" applyAlignment="1" applyProtection="1"/>
    <xf numFmtId="166" fontId="0" fillId="2" borderId="0" xfId="0" applyNumberFormat="1" applyFill="1" applyProtection="1"/>
    <xf numFmtId="166" fontId="8" fillId="8" borderId="1" xfId="0" applyNumberFormat="1" applyFont="1" applyFill="1" applyBorder="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7" fillId="3" borderId="2" xfId="0" applyFont="1" applyFill="1" applyBorder="1" applyAlignment="1" applyProtection="1"/>
    <xf numFmtId="0" fontId="7" fillId="3" borderId="6" xfId="0" applyFont="1" applyFill="1" applyBorder="1" applyAlignment="1" applyProtection="1"/>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8" borderId="2" xfId="0" quotePrefix="1" applyFont="1" applyFill="1" applyBorder="1" applyAlignment="1" applyProtection="1">
      <alignment wrapText="1"/>
    </xf>
    <xf numFmtId="0" fontId="8" fillId="8" borderId="6" xfId="0" quotePrefix="1" applyFont="1" applyFill="1" applyBorder="1" applyAlignment="1" applyProtection="1">
      <alignment wrapText="1"/>
    </xf>
    <xf numFmtId="0" fontId="8" fillId="8" borderId="3" xfId="0" quotePrefix="1" applyFont="1" applyFill="1" applyBorder="1" applyAlignment="1" applyProtection="1">
      <alignment wrapText="1"/>
    </xf>
    <xf numFmtId="0" fontId="14" fillId="4" borderId="2" xfId="0" applyFont="1" applyFill="1" applyBorder="1" applyAlignment="1" applyProtection="1"/>
    <xf numFmtId="0" fontId="14" fillId="4" borderId="6" xfId="0" applyFont="1" applyFill="1" applyBorder="1" applyAlignment="1" applyProtection="1"/>
    <xf numFmtId="0" fontId="14" fillId="4" borderId="3" xfId="0" applyFont="1" applyFill="1" applyBorder="1" applyAlignment="1" applyProtection="1"/>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4" borderId="6"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wrapText="1"/>
    </xf>
    <xf numFmtId="0" fontId="8" fillId="8" borderId="6" xfId="0" applyFont="1" applyFill="1" applyBorder="1" applyAlignment="1" applyProtection="1">
      <alignment wrapText="1"/>
    </xf>
    <xf numFmtId="0" fontId="8" fillId="8" borderId="3" xfId="0" applyFont="1" applyFill="1" applyBorder="1" applyAlignment="1" applyProtection="1">
      <alignment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166" fontId="7" fillId="3" borderId="6" xfId="0" applyNumberFormat="1" applyFont="1" applyFill="1" applyBorder="1" applyAlignment="1" applyProtection="1">
      <alignment horizontal="left"/>
    </xf>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0" fillId="2" borderId="0" xfId="0" applyFill="1" applyAlignment="1" applyProtection="1">
      <alignment horizontal="center" vertical="center" wrapText="1"/>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0" borderId="2" xfId="0" applyFont="1" applyFill="1" applyBorder="1" applyAlignment="1" applyProtection="1">
      <alignment horizontal="left"/>
    </xf>
    <xf numFmtId="0" fontId="8" fillId="0" borderId="6" xfId="0" applyFont="1" applyFill="1" applyBorder="1" applyAlignment="1" applyProtection="1">
      <alignment horizontal="left"/>
    </xf>
    <xf numFmtId="0" fontId="8" fillId="0" borderId="3"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cellStyle name="Procent" xfId="4" builtinId="5"/>
  </cellStyles>
  <dxfs count="0"/>
  <tableStyles count="0" defaultTableStyle="TableStyleMedium2" defaultPivotStyle="PivotStyleLight16"/>
  <colors>
    <mruColors>
      <color rgb="FFB6DDF3"/>
      <color rgb="FF212121"/>
      <color rgb="FFF2DCDB"/>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sheetName val="ØR22-25"/>
      <sheetName val="ØR21-24"/>
      <sheetName val="ØR20-23"/>
      <sheetName val="ØR19-22"/>
      <sheetName val="ØR18"/>
      <sheetName val="ØR17-20"/>
      <sheetName val="Nøgletal"/>
      <sheetName val="Farvekode forklaring"/>
      <sheetName val="Ark3"/>
    </sheetNames>
    <sheetDataSet>
      <sheetData sheetId="0"/>
      <sheetData sheetId="1">
        <row r="1">
          <cell r="A1" t="str">
            <v>ØR 2023-2026 samt statusmeddelelser</v>
          </cell>
        </row>
      </sheetData>
      <sheetData sheetId="2"/>
      <sheetData sheetId="3"/>
      <sheetData sheetId="4"/>
      <sheetData sheetId="5"/>
      <sheetData sheetId="6"/>
      <sheetData sheetId="7"/>
      <sheetData sheetId="8">
        <row r="5">
          <cell r="C5">
            <v>1.0168999999999999</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I49"/>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83" t="s">
        <v>4</v>
      </c>
      <c r="E6" s="83"/>
      <c r="F6" s="83"/>
      <c r="G6" s="83"/>
      <c r="H6" s="3"/>
      <c r="I6" s="1"/>
    </row>
    <row r="7" spans="1:9" ht="15" customHeight="1" x14ac:dyDescent="0.25">
      <c r="A7" s="1"/>
      <c r="B7" s="1"/>
      <c r="C7" s="3"/>
      <c r="D7" s="83"/>
      <c r="E7" s="83"/>
      <c r="F7" s="83"/>
      <c r="G7" s="83"/>
      <c r="H7" s="3"/>
      <c r="I7" s="1"/>
    </row>
    <row r="8" spans="1:9" ht="15.75" x14ac:dyDescent="0.25">
      <c r="A8" s="1"/>
      <c r="B8" s="1"/>
      <c r="C8" s="4"/>
      <c r="D8" s="88" t="s">
        <v>194</v>
      </c>
      <c r="E8" s="88"/>
      <c r="F8" s="88"/>
      <c r="G8" s="88"/>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7" t="s">
        <v>5</v>
      </c>
      <c r="E11" s="87"/>
      <c r="F11" s="87"/>
      <c r="G11" s="87"/>
      <c r="H11" s="5"/>
      <c r="I11" s="1"/>
    </row>
    <row r="12" spans="1:9" x14ac:dyDescent="0.25">
      <c r="A12" s="1"/>
      <c r="B12" s="1"/>
      <c r="C12" s="1"/>
      <c r="D12" s="1"/>
      <c r="E12" s="1"/>
      <c r="F12" s="1"/>
      <c r="G12" s="1"/>
      <c r="H12" s="1"/>
      <c r="I12" s="1"/>
    </row>
    <row r="13" spans="1:9" x14ac:dyDescent="0.25">
      <c r="A13" s="1"/>
      <c r="B13" s="1"/>
      <c r="C13" s="6" t="s">
        <v>6</v>
      </c>
      <c r="D13" s="80" t="s">
        <v>161</v>
      </c>
      <c r="E13" s="81"/>
      <c r="F13" s="81"/>
      <c r="G13" s="82"/>
      <c r="H13" s="1"/>
      <c r="I13" s="1"/>
    </row>
    <row r="14" spans="1:9" x14ac:dyDescent="0.25">
      <c r="A14" s="1"/>
      <c r="B14" s="1"/>
      <c r="C14" s="6" t="s">
        <v>14</v>
      </c>
      <c r="D14" s="80" t="s">
        <v>204</v>
      </c>
      <c r="E14" s="81"/>
      <c r="F14" s="81"/>
      <c r="G14" s="82"/>
      <c r="H14" s="1"/>
      <c r="I14" s="1"/>
    </row>
    <row r="15" spans="1:9" x14ac:dyDescent="0.25">
      <c r="A15" s="1"/>
      <c r="B15" s="1"/>
      <c r="C15" s="6" t="s">
        <v>32</v>
      </c>
      <c r="D15" s="80" t="s">
        <v>137</v>
      </c>
      <c r="E15" s="81"/>
      <c r="F15" s="81"/>
      <c r="G15" s="82"/>
      <c r="H15" s="1"/>
      <c r="I15" s="1"/>
    </row>
    <row r="16" spans="1:9" x14ac:dyDescent="0.25">
      <c r="A16" s="1"/>
      <c r="B16" s="1"/>
      <c r="C16" s="6" t="s">
        <v>33</v>
      </c>
      <c r="D16" s="80" t="s">
        <v>162</v>
      </c>
      <c r="E16" s="81"/>
      <c r="F16" s="81"/>
      <c r="G16" s="82"/>
      <c r="H16" s="1"/>
      <c r="I16" s="1"/>
    </row>
    <row r="17" spans="1:9" x14ac:dyDescent="0.25">
      <c r="A17" s="1"/>
      <c r="B17" s="1"/>
      <c r="C17" s="6" t="s">
        <v>110</v>
      </c>
      <c r="D17" s="80" t="s">
        <v>163</v>
      </c>
      <c r="E17" s="81"/>
      <c r="F17" s="81"/>
      <c r="G17" s="82"/>
      <c r="H17" s="1"/>
      <c r="I17" s="1"/>
    </row>
    <row r="18" spans="1:9" x14ac:dyDescent="0.25">
      <c r="A18" s="1"/>
      <c r="B18" s="1"/>
      <c r="C18" s="6" t="s">
        <v>94</v>
      </c>
      <c r="D18" s="89" t="s">
        <v>86</v>
      </c>
      <c r="E18" s="90"/>
      <c r="F18" s="90"/>
      <c r="G18" s="91"/>
      <c r="H18" s="1"/>
      <c r="I18" s="1"/>
    </row>
    <row r="19" spans="1:9" x14ac:dyDescent="0.25">
      <c r="A19" s="1"/>
      <c r="B19" s="1"/>
      <c r="C19" s="6" t="s">
        <v>95</v>
      </c>
      <c r="D19" s="89" t="s">
        <v>87</v>
      </c>
      <c r="E19" s="90"/>
      <c r="F19" s="90"/>
      <c r="G19" s="91"/>
      <c r="H19" s="1"/>
      <c r="I19" s="1"/>
    </row>
    <row r="20" spans="1:9" x14ac:dyDescent="0.25">
      <c r="A20" s="1"/>
      <c r="B20" s="1"/>
      <c r="C20" s="6" t="s">
        <v>7</v>
      </c>
      <c r="D20" s="89" t="s">
        <v>9</v>
      </c>
      <c r="E20" s="90"/>
      <c r="F20" s="90"/>
      <c r="G20" s="91"/>
      <c r="H20" s="1"/>
      <c r="I20" s="1"/>
    </row>
    <row r="21" spans="1:9" x14ac:dyDescent="0.25">
      <c r="A21" s="1"/>
      <c r="B21" s="1"/>
      <c r="C21" s="6" t="s">
        <v>96</v>
      </c>
      <c r="D21" s="95" t="s">
        <v>11</v>
      </c>
      <c r="E21" s="96"/>
      <c r="F21" s="96"/>
      <c r="G21" s="97"/>
      <c r="H21" s="1"/>
      <c r="I21" s="1"/>
    </row>
    <row r="22" spans="1:9" x14ac:dyDescent="0.25">
      <c r="A22" s="1"/>
      <c r="B22" s="1"/>
      <c r="C22" s="6" t="s">
        <v>78</v>
      </c>
      <c r="D22" s="84" t="s">
        <v>164</v>
      </c>
      <c r="E22" s="85"/>
      <c r="F22" s="85"/>
      <c r="G22" s="86"/>
      <c r="H22" s="1"/>
      <c r="I22" s="1"/>
    </row>
    <row r="23" spans="1:9" x14ac:dyDescent="0.25">
      <c r="A23" s="1"/>
      <c r="B23" s="1"/>
      <c r="C23" s="6" t="s">
        <v>8</v>
      </c>
      <c r="D23" s="84" t="s">
        <v>219</v>
      </c>
      <c r="E23" s="85"/>
      <c r="F23" s="85"/>
      <c r="G23" s="86"/>
      <c r="H23" s="1"/>
      <c r="I23" s="1"/>
    </row>
    <row r="24" spans="1:9" x14ac:dyDescent="0.25">
      <c r="A24" s="1"/>
      <c r="B24" s="1"/>
      <c r="C24" s="6" t="s">
        <v>215</v>
      </c>
      <c r="D24" s="84" t="s">
        <v>205</v>
      </c>
      <c r="E24" s="85"/>
      <c r="F24" s="85"/>
      <c r="G24" s="86"/>
      <c r="H24" s="1"/>
      <c r="I24" s="1"/>
    </row>
    <row r="25" spans="1:9" x14ac:dyDescent="0.25">
      <c r="A25" s="1"/>
      <c r="B25" s="1"/>
      <c r="C25" s="6" t="s">
        <v>216</v>
      </c>
      <c r="D25" s="84" t="s">
        <v>79</v>
      </c>
      <c r="E25" s="85"/>
      <c r="F25" s="85"/>
      <c r="G25" s="86"/>
      <c r="H25" s="1"/>
      <c r="I25" s="1"/>
    </row>
    <row r="26" spans="1:9" x14ac:dyDescent="0.25">
      <c r="A26" s="1"/>
      <c r="B26" s="1"/>
      <c r="C26" s="6" t="s">
        <v>217</v>
      </c>
      <c r="D26" s="84" t="s">
        <v>80</v>
      </c>
      <c r="E26" s="85"/>
      <c r="F26" s="85"/>
      <c r="G26" s="86"/>
      <c r="H26" s="1"/>
      <c r="I26" s="1"/>
    </row>
    <row r="27" spans="1:9" x14ac:dyDescent="0.25">
      <c r="A27" s="1"/>
      <c r="B27" s="1"/>
      <c r="C27" s="6" t="s">
        <v>97</v>
      </c>
      <c r="D27" s="84" t="s">
        <v>111</v>
      </c>
      <c r="E27" s="85"/>
      <c r="F27" s="85"/>
      <c r="G27" s="86"/>
      <c r="H27" s="1"/>
      <c r="I27" s="1"/>
    </row>
    <row r="28" spans="1:9" x14ac:dyDescent="0.25">
      <c r="A28" s="1"/>
      <c r="B28" s="1"/>
      <c r="C28" s="6" t="s">
        <v>91</v>
      </c>
      <c r="D28" s="84" t="s">
        <v>34</v>
      </c>
      <c r="E28" s="85"/>
      <c r="F28" s="85"/>
      <c r="G28" s="86"/>
      <c r="H28" s="1"/>
      <c r="I28" s="1"/>
    </row>
    <row r="29" spans="1:9" x14ac:dyDescent="0.25">
      <c r="A29" s="1"/>
      <c r="B29" s="1"/>
      <c r="C29" s="6" t="s">
        <v>218</v>
      </c>
      <c r="D29" s="92" t="s">
        <v>92</v>
      </c>
      <c r="E29" s="93"/>
      <c r="F29" s="93"/>
      <c r="G29" s="94"/>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sheetData>
  <sheetProtection algorithmName="SHA-512" hashValue="fxAid/Ahnpnh6X6+RlYzEADq7imbwS83FiRERfN6NhDdymxXKLyFtVxnpeUZl7lhM7eCq0A1Sg5sc+BHzjjatQ==" saltValue="WHJwym/uu36DTOzesRHTjw==" spinCount="100000" sheet="1" objects="1" scenarios="1"/>
  <mergeCells count="20">
    <mergeCell ref="D28:G28"/>
    <mergeCell ref="D29:G29"/>
    <mergeCell ref="D21:G21"/>
    <mergeCell ref="D24:G24"/>
    <mergeCell ref="D25:G25"/>
    <mergeCell ref="D27:G27"/>
    <mergeCell ref="D26:G26"/>
    <mergeCell ref="D23:G23"/>
    <mergeCell ref="D14:G14"/>
    <mergeCell ref="D6:G7"/>
    <mergeCell ref="D22:G22"/>
    <mergeCell ref="D11:G11"/>
    <mergeCell ref="D8:G8"/>
    <mergeCell ref="D15:G15"/>
    <mergeCell ref="D16:G16"/>
    <mergeCell ref="D13:G13"/>
    <mergeCell ref="D17:G17"/>
    <mergeCell ref="D18:G18"/>
    <mergeCell ref="D19:G19"/>
    <mergeCell ref="D20:G20"/>
  </mergeCells>
  <hyperlinks>
    <hyperlink ref="D14:G14" location="'Fane 2.2. Økonomisk ramme 2024'!A1" display="Vejledende økonomisk ramme for 2024"/>
    <hyperlink ref="D25:G25" location="'Fane 10.1. Varige tillæg'!A1" display="Varige tillæg"/>
    <hyperlink ref="D27:G27" location="'Fane 11. Tilknyttet virksomhed'!A1" display="Tilknyttet virksomhed"/>
    <hyperlink ref="D28:G28" location="'Fane 12. Bortfald'!A1" display="Bortfald"/>
    <hyperlink ref="D13:G13" location="'Fane 2.1. Økonomisk ramme 2023'!A1" display="Samlet økonomisk ramme for 2023"/>
    <hyperlink ref="D16:G16" location="'Fane 2.4. Økonomisk ramme 2026'!A1" display="Vejledende økonomisk ramme for 2026"/>
    <hyperlink ref="D15:G15" location="'Fane 2.3. Økonomisk ramme 2025'!A1" display="Vejledende økonomisk ramme for 2025"/>
    <hyperlink ref="D21:G21" location="'Fane 6. Ikke-påvirkelige omk.'!A1" display="Ikke-påvirkelige omkostninger"/>
    <hyperlink ref="D22:G22" location="'Fane 7. Kontrol af ØR2021'!A1" display="Kontrol af den økonomiske ramme for 2021"/>
    <hyperlink ref="D24:G24" location="'Fane 9. Anlægsprojekter (§ 19) '!A1" display="Anlægsprojekter (§ 19) "/>
    <hyperlink ref="D29:G29" location="'Fane 13. Nøgletal'!A1" display="Nøgletal"/>
    <hyperlink ref="D17:G17" location="'Fane 3. Omkostninger i ØR2022'!A1" display="Omkostninger i ØR2022"/>
    <hyperlink ref="D26:G26" location="'Fane 10.2. Engangstillæg'!A1" display="Engangstillæg"/>
    <hyperlink ref="D19:G19" location="'Fane 4.2. Gen. krav - anlæg'!A1" display="Generelt effektiviseringskrav på anlæg"/>
    <hyperlink ref="D18:G18" location="'Fane 4.1. Gen. krav - drift'!A1" display="Generelt effektiviseringskrav på drift"/>
    <hyperlink ref="D20:G20" location="'Fane 5. Individuelt eff. krav'!A1" display="Individuelt effektiviseringskrav"/>
    <hyperlink ref="D23:G23" location="'Fane 8. Skattesagen'!A1" display="Skattesagen"/>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F49"/>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8" t="s">
        <v>100</v>
      </c>
      <c r="C3" s="98"/>
      <c r="D3" s="98"/>
      <c r="E3" s="1"/>
      <c r="F3" s="1"/>
    </row>
    <row r="4" spans="1:6" ht="15" customHeight="1" x14ac:dyDescent="0.25">
      <c r="A4" s="1"/>
      <c r="B4" s="98"/>
      <c r="C4" s="98"/>
      <c r="D4" s="98"/>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17" t="s">
        <v>181</v>
      </c>
      <c r="C8" s="118"/>
      <c r="D8" s="119"/>
      <c r="E8" s="1"/>
      <c r="F8" s="1"/>
    </row>
    <row r="9" spans="1:6" ht="15" customHeight="1" x14ac:dyDescent="0.25">
      <c r="A9" s="1"/>
      <c r="B9" s="32" t="s">
        <v>30</v>
      </c>
      <c r="C9" s="11" t="s">
        <v>212</v>
      </c>
      <c r="D9" s="11"/>
      <c r="E9" s="1"/>
      <c r="F9" s="1"/>
    </row>
    <row r="10" spans="1:6" x14ac:dyDescent="0.25">
      <c r="A10" s="1"/>
      <c r="B10" s="75" t="s">
        <v>231</v>
      </c>
      <c r="C10" s="9">
        <v>12005552</v>
      </c>
      <c r="D10" s="14" t="s">
        <v>3</v>
      </c>
      <c r="E10" s="1"/>
      <c r="F10" s="1"/>
    </row>
    <row r="11" spans="1:6" x14ac:dyDescent="0.25">
      <c r="A11" s="1"/>
      <c r="B11" s="75" t="s">
        <v>232</v>
      </c>
      <c r="C11" s="9">
        <v>121658</v>
      </c>
      <c r="D11" s="14" t="s">
        <v>3</v>
      </c>
      <c r="E11" s="1"/>
      <c r="F11" s="1"/>
    </row>
    <row r="12" spans="1:6" x14ac:dyDescent="0.25">
      <c r="A12" s="1"/>
      <c r="B12" s="75" t="s">
        <v>233</v>
      </c>
      <c r="C12" s="9">
        <v>59413</v>
      </c>
      <c r="D12" s="14" t="s">
        <v>3</v>
      </c>
      <c r="E12" s="1"/>
      <c r="F12" s="1"/>
    </row>
    <row r="13" spans="1:6" x14ac:dyDescent="0.25">
      <c r="A13" s="1"/>
      <c r="B13" s="75" t="s">
        <v>234</v>
      </c>
      <c r="C13" s="9">
        <v>167347</v>
      </c>
      <c r="D13" s="14" t="s">
        <v>3</v>
      </c>
      <c r="E13" s="1"/>
      <c r="F13" s="1"/>
    </row>
    <row r="14" spans="1:6" x14ac:dyDescent="0.25">
      <c r="A14" s="1"/>
      <c r="B14" s="63" t="s">
        <v>182</v>
      </c>
      <c r="C14" s="12">
        <f>SUM(C10:C13)</f>
        <v>12353970</v>
      </c>
      <c r="D14" s="13" t="s">
        <v>3</v>
      </c>
      <c r="E14" s="1"/>
      <c r="F14" s="1"/>
    </row>
    <row r="15" spans="1:6" x14ac:dyDescent="0.25">
      <c r="A15" s="1"/>
      <c r="B15" s="63" t="s">
        <v>183</v>
      </c>
      <c r="C15" s="12">
        <f>C14*(1+'Fane 13. Nøgletal'!C15)^2</f>
        <v>13249229.591419201</v>
      </c>
      <c r="D15" s="13" t="s">
        <v>3</v>
      </c>
      <c r="E15" s="1"/>
      <c r="F15" s="1"/>
    </row>
    <row r="16" spans="1:6" x14ac:dyDescent="0.25">
      <c r="A16" s="1"/>
      <c r="B16" s="16"/>
      <c r="C16" s="15"/>
      <c r="D16" s="15"/>
      <c r="E16" s="1"/>
      <c r="F16" s="1"/>
    </row>
    <row r="17" spans="1:6" x14ac:dyDescent="0.25">
      <c r="A17" s="1"/>
      <c r="B17" s="16"/>
      <c r="C17" s="15"/>
      <c r="D17" s="15"/>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sheetData>
  <sheetProtection algorithmName="SHA-512" hashValue="cwORl15gwKYV3hMpIm40kZ0F/i3zUC0hq8rXrDiJGxMPxb/msecxV/QMZHJwwSoysKmblDZlV7etwYT8+qg7Ug==" saltValue="2rXWZ9qMkL4ogQTRRADGTg=="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1:G42"/>
  <sheetViews>
    <sheetView showGridLines="0" view="pageLayout" zoomScaleNormal="100" workbookViewId="0"/>
  </sheetViews>
  <sheetFormatPr defaultColWidth="9.140625" defaultRowHeight="15" x14ac:dyDescent="0.25"/>
  <cols>
    <col min="1" max="1" width="3.5703125" style="2" customWidth="1"/>
    <col min="2" max="3" width="9.140625" style="2"/>
    <col min="4" max="4" width="47.7109375" style="2" customWidth="1"/>
    <col min="5" max="5" width="10.7109375" style="2"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20" t="s">
        <v>184</v>
      </c>
      <c r="C3" s="120"/>
      <c r="D3" s="120"/>
      <c r="E3" s="120"/>
      <c r="F3" s="120"/>
      <c r="G3" s="1"/>
    </row>
    <row r="4" spans="1:7" ht="15" customHeight="1" x14ac:dyDescent="0.25">
      <c r="A4" s="1"/>
      <c r="B4" s="120"/>
      <c r="C4" s="120"/>
      <c r="D4" s="120"/>
      <c r="E4" s="120"/>
      <c r="F4" s="120"/>
      <c r="G4" s="1"/>
    </row>
    <row r="5" spans="1:7" ht="15" customHeight="1" x14ac:dyDescent="0.25">
      <c r="A5" s="1"/>
      <c r="B5" s="70"/>
      <c r="C5" s="70"/>
      <c r="D5" s="70"/>
      <c r="E5" s="70"/>
      <c r="F5" s="70"/>
      <c r="G5" s="1"/>
    </row>
    <row r="6" spans="1:7" ht="15" customHeight="1" x14ac:dyDescent="0.25">
      <c r="A6" s="1"/>
      <c r="B6" s="70"/>
      <c r="C6" s="70"/>
      <c r="D6" s="70"/>
      <c r="E6" s="70"/>
      <c r="F6" s="70"/>
      <c r="G6" s="1"/>
    </row>
    <row r="7" spans="1:7" x14ac:dyDescent="0.25">
      <c r="A7" s="1"/>
      <c r="B7" s="1"/>
      <c r="C7" s="1"/>
      <c r="D7" s="1"/>
      <c r="E7" s="1"/>
      <c r="F7" s="1"/>
      <c r="G7" s="1"/>
    </row>
    <row r="8" spans="1:7" x14ac:dyDescent="0.25">
      <c r="A8" s="1"/>
      <c r="B8" s="117" t="s">
        <v>155</v>
      </c>
      <c r="C8" s="118"/>
      <c r="D8" s="118"/>
      <c r="E8" s="118"/>
      <c r="F8" s="119"/>
      <c r="G8" s="1"/>
    </row>
    <row r="9" spans="1:7" x14ac:dyDescent="0.25">
      <c r="A9" s="1"/>
      <c r="B9" s="124" t="s">
        <v>156</v>
      </c>
      <c r="C9" s="125"/>
      <c r="D9" s="126"/>
      <c r="E9" s="9">
        <v>-668425</v>
      </c>
      <c r="F9" s="14" t="s">
        <v>3</v>
      </c>
      <c r="G9" s="1"/>
    </row>
    <row r="10" spans="1:7" x14ac:dyDescent="0.25">
      <c r="A10" s="1"/>
      <c r="B10" s="139" t="s">
        <v>235</v>
      </c>
      <c r="C10" s="140"/>
      <c r="D10" s="141"/>
      <c r="E10" s="9">
        <v>0</v>
      </c>
      <c r="F10" s="50" t="s">
        <v>3</v>
      </c>
      <c r="G10" s="1"/>
    </row>
    <row r="11" spans="1:7" x14ac:dyDescent="0.25">
      <c r="A11" s="1"/>
      <c r="B11" s="124" t="s">
        <v>185</v>
      </c>
      <c r="C11" s="125"/>
      <c r="D11" s="126"/>
      <c r="E11" s="9">
        <v>-979137.53142284602</v>
      </c>
      <c r="F11" s="14" t="s">
        <v>3</v>
      </c>
      <c r="G11" s="1"/>
    </row>
    <row r="12" spans="1:7" x14ac:dyDescent="0.25">
      <c r="A12" s="1"/>
      <c r="B12" s="63"/>
      <c r="C12" s="64"/>
      <c r="D12" s="64"/>
      <c r="E12" s="64"/>
      <c r="F12" s="19"/>
      <c r="G12" s="1"/>
    </row>
    <row r="13" spans="1:7" ht="64.900000000000006" customHeight="1" x14ac:dyDescent="0.25">
      <c r="A13" s="1"/>
      <c r="B13" s="100" t="s">
        <v>252</v>
      </c>
      <c r="C13" s="101"/>
      <c r="D13" s="101"/>
      <c r="E13" s="101"/>
      <c r="F13" s="102"/>
      <c r="G13" s="1"/>
    </row>
    <row r="14" spans="1:7" ht="27" customHeight="1" x14ac:dyDescent="0.25">
      <c r="A14" s="1"/>
      <c r="B14" s="1"/>
      <c r="C14" s="1"/>
      <c r="D14" s="1"/>
      <c r="E14" s="1"/>
      <c r="F14" s="1"/>
      <c r="G14" s="1"/>
    </row>
    <row r="15" spans="1:7" ht="28.5" customHeight="1" x14ac:dyDescent="0.25">
      <c r="A15" s="1"/>
      <c r="B15" s="117" t="s">
        <v>157</v>
      </c>
      <c r="C15" s="118"/>
      <c r="D15" s="118"/>
      <c r="E15" s="118"/>
      <c r="F15" s="119"/>
      <c r="G15" s="1"/>
    </row>
    <row r="16" spans="1:7" x14ac:dyDescent="0.25">
      <c r="A16" s="1"/>
      <c r="B16" s="124" t="s">
        <v>236</v>
      </c>
      <c r="C16" s="125"/>
      <c r="D16" s="126"/>
      <c r="E16" s="9">
        <v>0</v>
      </c>
      <c r="F16" s="14" t="s">
        <v>3</v>
      </c>
      <c r="G16" s="1"/>
    </row>
    <row r="17" spans="1:7" x14ac:dyDescent="0.25">
      <c r="A17" s="1"/>
      <c r="B17" s="124" t="s">
        <v>237</v>
      </c>
      <c r="C17" s="125"/>
      <c r="D17" s="126"/>
      <c r="E17" s="9">
        <v>0</v>
      </c>
      <c r="F17" s="14" t="s">
        <v>3</v>
      </c>
      <c r="G17" s="1"/>
    </row>
    <row r="18" spans="1:7" x14ac:dyDescent="0.25">
      <c r="A18" s="1"/>
      <c r="B18" s="63"/>
      <c r="C18" s="64"/>
      <c r="D18" s="64"/>
      <c r="E18" s="64"/>
      <c r="F18" s="19"/>
      <c r="G18" s="1"/>
    </row>
    <row r="19" spans="1:7" ht="31.5" customHeight="1" x14ac:dyDescent="0.25">
      <c r="A19" s="1"/>
      <c r="B19" s="100" t="s">
        <v>158</v>
      </c>
      <c r="C19" s="101"/>
      <c r="D19" s="101"/>
      <c r="E19" s="101"/>
      <c r="F19" s="102"/>
      <c r="G19" s="1"/>
    </row>
    <row r="20" spans="1:7" ht="28.5" customHeight="1" x14ac:dyDescent="0.25">
      <c r="A20" s="1"/>
      <c r="B20" s="1"/>
      <c r="C20" s="1"/>
      <c r="D20" s="1"/>
      <c r="E20" s="1"/>
      <c r="F20" s="1"/>
      <c r="G20" s="1"/>
    </row>
    <row r="21" spans="1:7" ht="28.5" customHeight="1" x14ac:dyDescent="0.25">
      <c r="A21" s="1"/>
      <c r="B21" s="67" t="s">
        <v>186</v>
      </c>
      <c r="C21" s="68"/>
      <c r="D21" s="68"/>
      <c r="E21" s="68"/>
      <c r="F21" s="69"/>
      <c r="G21" s="1"/>
    </row>
    <row r="22" spans="1:7" x14ac:dyDescent="0.25">
      <c r="A22" s="1"/>
      <c r="B22" s="72" t="s">
        <v>238</v>
      </c>
      <c r="C22" s="73"/>
      <c r="D22" s="74"/>
      <c r="E22" s="9">
        <v>27431145.065289624</v>
      </c>
      <c r="F22" s="14" t="s">
        <v>3</v>
      </c>
      <c r="G22" s="1"/>
    </row>
    <row r="23" spans="1:7" x14ac:dyDescent="0.25">
      <c r="A23" s="1"/>
      <c r="B23" s="72" t="s">
        <v>187</v>
      </c>
      <c r="C23" s="73"/>
      <c r="D23" s="74"/>
      <c r="E23" s="9">
        <v>27124564</v>
      </c>
      <c r="F23" s="14" t="s">
        <v>3</v>
      </c>
      <c r="G23" s="1"/>
    </row>
    <row r="24" spans="1:7" x14ac:dyDescent="0.25">
      <c r="A24" s="1"/>
      <c r="B24" s="72" t="s">
        <v>31</v>
      </c>
      <c r="C24" s="73"/>
      <c r="D24" s="74"/>
      <c r="E24" s="9">
        <v>125000</v>
      </c>
      <c r="F24" s="14" t="s">
        <v>3</v>
      </c>
      <c r="G24" s="1"/>
    </row>
    <row r="25" spans="1:7" x14ac:dyDescent="0.25">
      <c r="A25" s="1"/>
      <c r="B25" s="47" t="s">
        <v>253</v>
      </c>
      <c r="C25" s="48"/>
      <c r="D25" s="49"/>
      <c r="E25" s="53">
        <f>E22-(E23-E24)</f>
        <v>431581.06528962404</v>
      </c>
      <c r="F25" s="17" t="s">
        <v>3</v>
      </c>
      <c r="G25" s="1"/>
    </row>
    <row r="26" spans="1:7" x14ac:dyDescent="0.25">
      <c r="A26" s="1"/>
      <c r="B26" s="63"/>
      <c r="C26" s="64"/>
      <c r="D26" s="64"/>
      <c r="E26" s="64"/>
      <c r="F26" s="19"/>
      <c r="G26" s="1"/>
    </row>
    <row r="27" spans="1:7" x14ac:dyDescent="0.25">
      <c r="A27" s="1"/>
      <c r="B27" s="1"/>
      <c r="C27" s="1"/>
      <c r="D27" s="1"/>
      <c r="E27" s="1"/>
      <c r="F27" s="1"/>
      <c r="G27" s="1"/>
    </row>
    <row r="28" spans="1:7" ht="28.5" customHeight="1" x14ac:dyDescent="0.25">
      <c r="A28" s="1"/>
      <c r="B28" s="117" t="s">
        <v>239</v>
      </c>
      <c r="C28" s="118"/>
      <c r="D28" s="118"/>
      <c r="E28" s="118"/>
      <c r="F28" s="119"/>
      <c r="G28" s="1"/>
    </row>
    <row r="29" spans="1:7" x14ac:dyDescent="0.25">
      <c r="A29" s="1"/>
      <c r="B29" s="142" t="s">
        <v>128</v>
      </c>
      <c r="C29" s="143"/>
      <c r="D29" s="144"/>
      <c r="E29" s="9">
        <f>IF(AND(E11&gt;0,E25&gt;0),0,IF(AND(E11&lt;0,E25&lt;0),E16+E17+E25,IF(AND(E11&lt;0,E25&gt;0),E16+E17,IF(AND(E9&gt;0,E11&gt;0,E25&lt;0,ABS(E11)&gt;ABS(E25)),0,IF(AND(E9&gt;0,E11&gt;0,E25&lt;0,ABS(E11)&lt;ABS(E25)),(ABS(E11)-ABS(E25)),IF(AND(E9&lt;0,E11&gt;0,E25&lt;0,ABS(E10)&gt;ABS(E11)),E25,IF(AND(E9&lt;0,E11&gt;0,E25&lt;0,ABS(E10)&lt;ABS(E11),ABS(SUM(E10,E11))&gt;ABS(E25)),0,IF(AND(E9&lt;0,E11&gt;0,E25&lt;0,ABS(E10)&lt;ABS(E11),ABS(SUM(E10,E11))&lt;ABS(E25)),(ABS(SUM(E10,E11))-ABS(E25)),"fejl"))))))))</f>
        <v>0</v>
      </c>
      <c r="F29" s="14" t="s">
        <v>3</v>
      </c>
      <c r="G29" s="1"/>
    </row>
    <row r="30" spans="1:7" x14ac:dyDescent="0.25">
      <c r="A30" s="1"/>
      <c r="B30" s="142" t="s">
        <v>93</v>
      </c>
      <c r="C30" s="143"/>
      <c r="D30" s="144"/>
      <c r="E30" s="9">
        <v>2</v>
      </c>
      <c r="F30" s="14" t="s">
        <v>18</v>
      </c>
      <c r="G30" s="1"/>
    </row>
    <row r="31" spans="1:7" x14ac:dyDescent="0.25">
      <c r="A31" s="1"/>
      <c r="B31" s="135" t="s">
        <v>127</v>
      </c>
      <c r="C31" s="135"/>
      <c r="D31" s="135"/>
      <c r="E31" s="10">
        <f>E29/E30</f>
        <v>0</v>
      </c>
      <c r="F31" s="17" t="s">
        <v>3</v>
      </c>
      <c r="G31" s="1"/>
    </row>
    <row r="32" spans="1:7" x14ac:dyDescent="0.25">
      <c r="A32" s="1"/>
      <c r="B32" s="136"/>
      <c r="C32" s="137"/>
      <c r="D32" s="137"/>
      <c r="E32" s="137"/>
      <c r="F32" s="138"/>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B38" s="51"/>
      <c r="C38" s="51"/>
      <c r="D38" s="51"/>
      <c r="E38" s="51"/>
      <c r="F38" s="51"/>
    </row>
    <row r="39" spans="1:7" x14ac:dyDescent="0.25">
      <c r="A39" s="51"/>
      <c r="B39" s="51"/>
      <c r="C39" s="51"/>
      <c r="D39" s="51"/>
      <c r="E39" s="51"/>
      <c r="F39" s="51"/>
      <c r="G39" s="51"/>
    </row>
    <row r="40" spans="1:7" x14ac:dyDescent="0.25">
      <c r="A40" s="51"/>
      <c r="B40" s="51"/>
      <c r="C40" s="51"/>
      <c r="D40" s="51"/>
      <c r="E40" s="51"/>
      <c r="F40" s="51"/>
      <c r="G40" s="51"/>
    </row>
    <row r="41" spans="1:7" x14ac:dyDescent="0.25">
      <c r="A41" s="51"/>
      <c r="B41" s="51"/>
      <c r="C41" s="51"/>
      <c r="D41" s="51"/>
      <c r="E41" s="51"/>
      <c r="F41" s="51"/>
      <c r="G41" s="51"/>
    </row>
    <row r="42" spans="1:7" x14ac:dyDescent="0.25">
      <c r="A42" s="51"/>
      <c r="B42" s="51"/>
      <c r="C42" s="51"/>
      <c r="D42" s="51"/>
      <c r="E42" s="51"/>
      <c r="F42" s="51"/>
      <c r="G42" s="51"/>
    </row>
  </sheetData>
  <sheetProtection algorithmName="SHA-512" hashValue="UtkcXZ2TolhwjK7jsltSUhdahoew9TOMvfHb6mlkWs4x1/30r7Pk10/Xcp2ggYjhyu7KfLWMh01vc6RTvNLAWA==" saltValue="88r+Wl6YwV2BhIaCxabi5w==" spinCount="100000" sheet="1" objects="1" scenarios="1"/>
  <mergeCells count="15">
    <mergeCell ref="B3:F4"/>
    <mergeCell ref="B17:D17"/>
    <mergeCell ref="B9:D9"/>
    <mergeCell ref="B13:F13"/>
    <mergeCell ref="B15:F15"/>
    <mergeCell ref="B16:D16"/>
    <mergeCell ref="B31:D31"/>
    <mergeCell ref="B32:F32"/>
    <mergeCell ref="B8:F8"/>
    <mergeCell ref="B10:D10"/>
    <mergeCell ref="B11:D11"/>
    <mergeCell ref="B30:D30"/>
    <mergeCell ref="B19:F19"/>
    <mergeCell ref="B28:F28"/>
    <mergeCell ref="B29:D29"/>
  </mergeCells>
  <pageMargins left="0.70866141732283461" right="0.7086614173228346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I42"/>
  <sheetViews>
    <sheetView view="pageLayout" zoomScaleNormal="100" workbookViewId="0"/>
  </sheetViews>
  <sheetFormatPr defaultColWidth="9.140625" defaultRowHeight="15" x14ac:dyDescent="0.25"/>
  <cols>
    <col min="1" max="1" width="4.7109375" style="36" customWidth="1"/>
    <col min="2" max="2" width="22.5703125" style="36" customWidth="1"/>
    <col min="3" max="3" width="8.28515625" style="36" customWidth="1"/>
    <col min="4" max="6" width="10.7109375" style="36" customWidth="1"/>
    <col min="7" max="7" width="11.140625" style="36" customWidth="1"/>
    <col min="8" max="8" width="3.28515625" style="36" customWidth="1"/>
    <col min="9" max="9" width="4.85546875" style="36" customWidth="1"/>
    <col min="10" max="16384" width="9.140625" style="36"/>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8" t="s">
        <v>226</v>
      </c>
      <c r="C3" s="98"/>
      <c r="D3" s="98"/>
      <c r="E3" s="98"/>
      <c r="F3" s="98"/>
      <c r="G3" s="98"/>
      <c r="H3" s="98"/>
      <c r="I3" s="1"/>
    </row>
    <row r="4" spans="1:9" ht="15" customHeight="1" x14ac:dyDescent="0.25">
      <c r="A4" s="1"/>
      <c r="B4" s="98"/>
      <c r="C4" s="98"/>
      <c r="D4" s="98"/>
      <c r="E4" s="98"/>
      <c r="F4" s="98"/>
      <c r="G4" s="98"/>
      <c r="H4" s="98"/>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17" t="s">
        <v>227</v>
      </c>
      <c r="C8" s="118"/>
      <c r="D8" s="118"/>
      <c r="E8" s="118"/>
      <c r="F8" s="118"/>
      <c r="G8" s="118"/>
      <c r="H8" s="119"/>
      <c r="I8" s="1"/>
    </row>
    <row r="9" spans="1:9" ht="15" customHeight="1" x14ac:dyDescent="0.25">
      <c r="A9" s="1"/>
      <c r="B9" s="109" t="s">
        <v>228</v>
      </c>
      <c r="C9" s="110"/>
      <c r="D9" s="110"/>
      <c r="E9" s="110"/>
      <c r="F9" s="110"/>
      <c r="G9" s="110"/>
      <c r="H9" s="111"/>
      <c r="I9" s="1"/>
    </row>
    <row r="10" spans="1:9" x14ac:dyDescent="0.25">
      <c r="A10" s="1"/>
      <c r="B10" s="145" t="s">
        <v>244</v>
      </c>
      <c r="C10" s="146"/>
      <c r="D10" s="146"/>
      <c r="E10" s="146"/>
      <c r="F10" s="147"/>
      <c r="G10" s="52">
        <v>0</v>
      </c>
      <c r="H10" s="9" t="s">
        <v>3</v>
      </c>
      <c r="I10" s="1"/>
    </row>
    <row r="11" spans="1:9" x14ac:dyDescent="0.25">
      <c r="A11" s="1"/>
      <c r="B11" s="145" t="s">
        <v>245</v>
      </c>
      <c r="C11" s="146"/>
      <c r="D11" s="146"/>
      <c r="E11" s="146"/>
      <c r="F11" s="147"/>
      <c r="G11" s="52">
        <v>0</v>
      </c>
      <c r="H11" s="9" t="s">
        <v>3</v>
      </c>
      <c r="I11" s="1"/>
    </row>
    <row r="12" spans="1:9" x14ac:dyDescent="0.25">
      <c r="A12" s="1"/>
      <c r="B12" s="145" t="s">
        <v>246</v>
      </c>
      <c r="C12" s="146"/>
      <c r="D12" s="146"/>
      <c r="E12" s="146"/>
      <c r="F12" s="147"/>
      <c r="G12" s="9">
        <v>0</v>
      </c>
      <c r="H12" s="9" t="s">
        <v>3</v>
      </c>
      <c r="I12" s="1"/>
    </row>
    <row r="13" spans="1:9" x14ac:dyDescent="0.25">
      <c r="A13" s="1"/>
      <c r="B13" s="145" t="s">
        <v>247</v>
      </c>
      <c r="C13" s="146"/>
      <c r="D13" s="146"/>
      <c r="E13" s="146"/>
      <c r="F13" s="147"/>
      <c r="G13" s="9">
        <v>0</v>
      </c>
      <c r="H13" s="9" t="s">
        <v>3</v>
      </c>
      <c r="I13" s="1"/>
    </row>
    <row r="14" spans="1:9" x14ac:dyDescent="0.25">
      <c r="A14" s="1"/>
      <c r="B14" s="145" t="s">
        <v>248</v>
      </c>
      <c r="C14" s="146"/>
      <c r="D14" s="146"/>
      <c r="E14" s="146"/>
      <c r="F14" s="147"/>
      <c r="G14" s="9">
        <v>0</v>
      </c>
      <c r="H14" s="9" t="s">
        <v>3</v>
      </c>
      <c r="I14" s="1"/>
    </row>
    <row r="15" spans="1:9" x14ac:dyDescent="0.25">
      <c r="A15" s="1"/>
      <c r="B15" s="145" t="s">
        <v>249</v>
      </c>
      <c r="C15" s="146"/>
      <c r="D15" s="146"/>
      <c r="E15" s="146"/>
      <c r="F15" s="147"/>
      <c r="G15" s="9">
        <v>0</v>
      </c>
      <c r="H15" s="9" t="s">
        <v>3</v>
      </c>
      <c r="I15" s="1"/>
    </row>
    <row r="16" spans="1:9" x14ac:dyDescent="0.25">
      <c r="A16" s="1"/>
      <c r="B16" s="145" t="s">
        <v>250</v>
      </c>
      <c r="C16" s="146"/>
      <c r="D16" s="146"/>
      <c r="E16" s="146"/>
      <c r="F16" s="147"/>
      <c r="G16" s="9">
        <v>0</v>
      </c>
      <c r="H16" s="9" t="s">
        <v>3</v>
      </c>
      <c r="I16" s="1"/>
    </row>
    <row r="17" spans="1:9" x14ac:dyDescent="0.25">
      <c r="A17" s="1"/>
      <c r="B17" s="145" t="s">
        <v>251</v>
      </c>
      <c r="C17" s="146"/>
      <c r="D17" s="146"/>
      <c r="E17" s="146"/>
      <c r="F17" s="147"/>
      <c r="G17" s="9">
        <v>0</v>
      </c>
      <c r="H17" s="9" t="s">
        <v>3</v>
      </c>
      <c r="I17" s="1"/>
    </row>
    <row r="18" spans="1:9" x14ac:dyDescent="0.25">
      <c r="A18" s="1"/>
      <c r="B18" s="117" t="s">
        <v>229</v>
      </c>
      <c r="C18" s="118"/>
      <c r="D18" s="118"/>
      <c r="E18" s="118"/>
      <c r="F18" s="119"/>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sheetData>
  <sheetProtection algorithmName="SHA-512" hashValue="zLduqhSa0a4X4nDZxHUk6sbms3tLgBD4M9LWyD1tK/kCJNqCig7Nmzt/HeRlx/jRbDfV0fiXu27r8Px707+ffA==" saltValue="bcLkGuFNaqibCiPp1ygqHg==" spinCount="100000" sheet="1" objects="1" scenarios="1"/>
  <mergeCells count="12">
    <mergeCell ref="B17:F17"/>
    <mergeCell ref="B18:F18"/>
    <mergeCell ref="B12:F12"/>
    <mergeCell ref="B13:F13"/>
    <mergeCell ref="B14:F14"/>
    <mergeCell ref="B15:F15"/>
    <mergeCell ref="B16:F16"/>
    <mergeCell ref="B11:F11"/>
    <mergeCell ref="B3:H4"/>
    <mergeCell ref="B8:H8"/>
    <mergeCell ref="B9:H9"/>
    <mergeCell ref="B10:F1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L46"/>
  <sheetViews>
    <sheetView showGridLines="0" view="pageLayout" zoomScaleNormal="100" workbookViewId="0"/>
  </sheetViews>
  <sheetFormatPr defaultColWidth="9.140625" defaultRowHeight="15" x14ac:dyDescent="0.25"/>
  <cols>
    <col min="1" max="1" width="3.85546875" style="2" customWidth="1"/>
    <col min="2" max="2" width="22.7109375" style="2" customWidth="1"/>
    <col min="3" max="3" width="7.28515625" style="2" customWidth="1"/>
    <col min="4" max="4" width="8.85546875" style="2" customWidth="1"/>
    <col min="5" max="5" width="2.7109375" style="2" customWidth="1"/>
    <col min="6" max="6" width="8.85546875" style="2" customWidth="1"/>
    <col min="7" max="7" width="2.7109375" style="2" customWidth="1"/>
    <col min="8" max="8" width="8.85546875" style="2" customWidth="1"/>
    <col min="9" max="9" width="2.7109375" style="2" customWidth="1"/>
    <col min="10" max="10" width="8.85546875"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8" t="s">
        <v>220</v>
      </c>
      <c r="C3" s="98"/>
      <c r="D3" s="98"/>
      <c r="E3" s="98"/>
      <c r="F3" s="98"/>
      <c r="G3" s="98"/>
      <c r="H3" s="98"/>
      <c r="I3" s="98"/>
      <c r="J3" s="98"/>
      <c r="K3" s="98"/>
      <c r="L3" s="1"/>
    </row>
    <row r="4" spans="1:12" ht="15" customHeight="1" x14ac:dyDescent="0.25">
      <c r="A4" s="1"/>
      <c r="B4" s="98"/>
      <c r="C4" s="98"/>
      <c r="D4" s="98"/>
      <c r="E4" s="98"/>
      <c r="F4" s="98"/>
      <c r="G4" s="98"/>
      <c r="H4" s="98"/>
      <c r="I4" s="98"/>
      <c r="J4" s="98"/>
      <c r="K4" s="98"/>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7" t="s">
        <v>192</v>
      </c>
      <c r="C8" s="118"/>
      <c r="D8" s="118"/>
      <c r="E8" s="118"/>
      <c r="F8" s="118"/>
      <c r="G8" s="118"/>
      <c r="H8" s="118"/>
      <c r="I8" s="118"/>
      <c r="J8" s="118"/>
      <c r="K8" s="119"/>
      <c r="L8" s="1"/>
    </row>
    <row r="9" spans="1:12" ht="39.75" customHeight="1" x14ac:dyDescent="0.25">
      <c r="A9" s="1"/>
      <c r="B9" s="18" t="s">
        <v>0</v>
      </c>
      <c r="C9" s="18" t="s">
        <v>1</v>
      </c>
      <c r="D9" s="148" t="s">
        <v>213</v>
      </c>
      <c r="E9" s="149"/>
      <c r="F9" s="148" t="s">
        <v>2</v>
      </c>
      <c r="G9" s="149"/>
      <c r="H9" s="148" t="s">
        <v>214</v>
      </c>
      <c r="I9" s="149"/>
      <c r="J9" s="148" t="s">
        <v>28</v>
      </c>
      <c r="K9" s="149"/>
      <c r="L9" s="1"/>
    </row>
    <row r="10" spans="1:12" x14ac:dyDescent="0.25">
      <c r="A10" s="1"/>
      <c r="B10" s="77" t="s">
        <v>230</v>
      </c>
      <c r="C10" s="29">
        <v>0</v>
      </c>
      <c r="D10" s="9">
        <v>0</v>
      </c>
      <c r="E10" s="14" t="s">
        <v>3</v>
      </c>
      <c r="F10" s="35">
        <f>IFERROR(D10/C10,0)</f>
        <v>0</v>
      </c>
      <c r="G10" s="14" t="s">
        <v>3</v>
      </c>
      <c r="H10" s="9">
        <v>0</v>
      </c>
      <c r="I10" s="14" t="s">
        <v>3</v>
      </c>
      <c r="J10" s="9">
        <v>0</v>
      </c>
      <c r="K10" s="14" t="s">
        <v>3</v>
      </c>
      <c r="L10" s="1"/>
    </row>
    <row r="11" spans="1:12" x14ac:dyDescent="0.25">
      <c r="A11" s="1"/>
      <c r="B11" s="63" t="s">
        <v>193</v>
      </c>
      <c r="C11" s="64"/>
      <c r="D11" s="19"/>
      <c r="E11" s="69"/>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sheetData>
  <sheetProtection algorithmName="SHA-512" hashValue="AkfExsy7OPiIIeaQFKA9avPLy10yssHkkYb2ugcfk5CKkb2fqf/c+6fKDHhYXd6S64/rRDarZzfmBt5YtjwiSQ==" saltValue="jsApPtfZW9C0zYI5pdOTOw=="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8" t="s">
        <v>221</v>
      </c>
      <c r="C3" s="98"/>
      <c r="D3" s="98"/>
      <c r="E3" s="98"/>
      <c r="F3" s="98"/>
      <c r="G3" s="1"/>
    </row>
    <row r="4" spans="1:7" ht="15" customHeight="1" x14ac:dyDescent="0.25">
      <c r="A4" s="1"/>
      <c r="B4" s="98"/>
      <c r="C4" s="98"/>
      <c r="D4" s="98"/>
      <c r="E4" s="98"/>
      <c r="F4" s="9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3" t="s">
        <v>75</v>
      </c>
      <c r="C8" s="64"/>
      <c r="D8" s="64"/>
      <c r="E8" s="64"/>
      <c r="F8" s="19"/>
      <c r="G8" s="1"/>
    </row>
    <row r="9" spans="1:7" ht="17.25" customHeight="1" x14ac:dyDescent="0.25">
      <c r="A9" s="1"/>
      <c r="B9" s="61" t="s">
        <v>15</v>
      </c>
      <c r="C9" s="61" t="s">
        <v>10</v>
      </c>
      <c r="D9" s="62"/>
      <c r="E9" s="61" t="s">
        <v>29</v>
      </c>
      <c r="F9" s="66"/>
      <c r="G9" s="1"/>
    </row>
    <row r="10" spans="1:7" x14ac:dyDescent="0.25">
      <c r="A10" s="1"/>
      <c r="B10" s="22" t="s">
        <v>203</v>
      </c>
      <c r="C10" s="21">
        <f>'Fane 9. Anlægsprojekter (§ 19) '!H11</f>
        <v>0</v>
      </c>
      <c r="D10" s="14" t="s">
        <v>3</v>
      </c>
      <c r="E10" s="9">
        <f>'Fane 9. Anlægsprojekter (§ 19) '!F11+'Fane 9. Anlægsprojekter (§ 19) '!J11</f>
        <v>0</v>
      </c>
      <c r="F10" s="14" t="s">
        <v>3</v>
      </c>
      <c r="G10" s="1"/>
    </row>
    <row r="11" spans="1:7" x14ac:dyDescent="0.25">
      <c r="A11" s="1"/>
      <c r="B11" s="26" t="s">
        <v>240</v>
      </c>
      <c r="C11" s="21">
        <v>0</v>
      </c>
      <c r="D11" s="14" t="s">
        <v>3</v>
      </c>
      <c r="E11" s="9">
        <v>0</v>
      </c>
      <c r="F11" s="14" t="s">
        <v>3</v>
      </c>
      <c r="G11" s="1"/>
    </row>
    <row r="12" spans="1:7" x14ac:dyDescent="0.25">
      <c r="A12" s="1"/>
      <c r="B12" s="63" t="s">
        <v>148</v>
      </c>
      <c r="C12" s="12">
        <f>SUM(C10:C11)</f>
        <v>0</v>
      </c>
      <c r="D12" s="13" t="s">
        <v>3</v>
      </c>
      <c r="E12" s="12">
        <f>SUM(E10:E11)</f>
        <v>0</v>
      </c>
      <c r="F12" s="13" t="s">
        <v>3</v>
      </c>
      <c r="G12" s="1"/>
    </row>
    <row r="13" spans="1:7" x14ac:dyDescent="0.25">
      <c r="A13" s="1"/>
      <c r="B13" s="63" t="s">
        <v>188</v>
      </c>
      <c r="C13" s="12">
        <f>C12*(1+'Fane 13. Nøgletal'!C15)</f>
        <v>0</v>
      </c>
      <c r="D13" s="13" t="s">
        <v>3</v>
      </c>
      <c r="E13" s="12">
        <f>E12*(1+'Fane 13. Nøgletal'!C15)</f>
        <v>0</v>
      </c>
      <c r="F13" s="13" t="s">
        <v>3</v>
      </c>
      <c r="G13" s="1"/>
    </row>
    <row r="14" spans="1:7" x14ac:dyDescent="0.25">
      <c r="A14" s="1"/>
      <c r="B14" s="1"/>
      <c r="C14" s="1" t="s">
        <v>210</v>
      </c>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4edcKBnX6sqHEEggquB6Wus4YsckoJEk15Y0WjPToFYagTe+/HX8qZCy5tGmvLWJG8omFQ7DZw1z7+NUSkAuew==" saltValue="Vf2Fhdd1jxnDmwac/440sQ=="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G3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8" t="s">
        <v>222</v>
      </c>
      <c r="C3" s="98"/>
      <c r="D3" s="98"/>
      <c r="E3" s="98"/>
      <c r="F3" s="98"/>
      <c r="G3" s="1"/>
    </row>
    <row r="4" spans="1:7" ht="15" customHeight="1" x14ac:dyDescent="0.25">
      <c r="A4" s="1"/>
      <c r="B4" s="98"/>
      <c r="C4" s="98"/>
      <c r="D4" s="98"/>
      <c r="E4" s="98"/>
      <c r="F4" s="9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17" t="s">
        <v>88</v>
      </c>
      <c r="C9" s="118"/>
      <c r="D9" s="118"/>
      <c r="E9" s="118"/>
      <c r="F9" s="119"/>
      <c r="G9" s="1"/>
    </row>
    <row r="10" spans="1:7" ht="26.25" x14ac:dyDescent="0.25">
      <c r="A10" s="1"/>
      <c r="B10" s="61" t="s">
        <v>15</v>
      </c>
      <c r="C10" s="61" t="s">
        <v>10</v>
      </c>
      <c r="D10" s="62"/>
      <c r="E10" s="61" t="s">
        <v>29</v>
      </c>
      <c r="F10" s="66"/>
      <c r="G10" s="1"/>
    </row>
    <row r="11" spans="1:7" x14ac:dyDescent="0.25">
      <c r="A11" s="1"/>
      <c r="B11" s="22" t="s">
        <v>241</v>
      </c>
      <c r="C11" s="21">
        <v>0</v>
      </c>
      <c r="D11" s="14" t="s">
        <v>3</v>
      </c>
      <c r="E11" s="9">
        <v>0</v>
      </c>
      <c r="F11" s="14" t="s">
        <v>3</v>
      </c>
      <c r="G11" s="1"/>
    </row>
    <row r="12" spans="1:7" x14ac:dyDescent="0.25">
      <c r="A12" s="1"/>
      <c r="B12" s="63" t="s">
        <v>195</v>
      </c>
      <c r="C12" s="12">
        <f>SUM(C11:C11)</f>
        <v>0</v>
      </c>
      <c r="D12" s="13" t="s">
        <v>3</v>
      </c>
      <c r="E12" s="12">
        <f>SUM(E11:E11)</f>
        <v>0</v>
      </c>
      <c r="F12" s="13" t="s">
        <v>3</v>
      </c>
      <c r="G12" s="1"/>
    </row>
    <row r="13" spans="1:7" x14ac:dyDescent="0.25">
      <c r="A13" s="1"/>
      <c r="B13" s="63" t="s">
        <v>119</v>
      </c>
      <c r="C13" s="12">
        <f>C12*(1+'Fane 13. Nøgletal'!$C$15)^2</f>
        <v>0</v>
      </c>
      <c r="D13" s="13" t="s">
        <v>3</v>
      </c>
      <c r="E13" s="12">
        <f>E12*(1+'Fane 13. Nøgletal'!$C$15)^2</f>
        <v>0</v>
      </c>
      <c r="F13" s="13" t="s">
        <v>3</v>
      </c>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ht="18" customHeight="1"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sheetData>
  <sheetProtection algorithmName="SHA-512" hashValue="yehllMONxIohPRjWMmvNimZ+ZrQndtkchqv0gRbUMgoxMWYlT6ulNeWMj8WCrbSM4i8CdJWvT7LbuJXnpZJSNg==" saltValue="Z0h6NA6V8Mio9Et2hxIPpg=="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G45"/>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0" t="s">
        <v>223</v>
      </c>
      <c r="C3" s="120"/>
      <c r="D3" s="120"/>
      <c r="E3" s="120"/>
      <c r="F3" s="120"/>
      <c r="G3" s="1"/>
    </row>
    <row r="4" spans="1:7" ht="25.5" customHeight="1" x14ac:dyDescent="0.25">
      <c r="A4" s="1"/>
      <c r="B4" s="120"/>
      <c r="C4" s="120"/>
      <c r="D4" s="120"/>
      <c r="E4" s="120"/>
      <c r="F4" s="12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7" t="s">
        <v>112</v>
      </c>
      <c r="C8" s="118"/>
      <c r="D8" s="118"/>
      <c r="E8" s="118"/>
      <c r="F8" s="119"/>
      <c r="G8" s="1"/>
    </row>
    <row r="9" spans="1:7" ht="15" customHeight="1" x14ac:dyDescent="0.25">
      <c r="A9" s="1"/>
      <c r="B9" s="65" t="s">
        <v>113</v>
      </c>
      <c r="C9" s="109" t="s">
        <v>10</v>
      </c>
      <c r="D9" s="111"/>
      <c r="E9" s="109" t="s">
        <v>29</v>
      </c>
      <c r="F9" s="111"/>
      <c r="G9" s="1"/>
    </row>
    <row r="10" spans="1:7" x14ac:dyDescent="0.25">
      <c r="A10" s="1"/>
      <c r="B10" s="22" t="s">
        <v>242</v>
      </c>
      <c r="C10" s="9">
        <v>0</v>
      </c>
      <c r="D10" s="14" t="s">
        <v>3</v>
      </c>
      <c r="E10" s="9">
        <v>0</v>
      </c>
      <c r="F10" s="14" t="s">
        <v>3</v>
      </c>
      <c r="G10" s="1"/>
    </row>
    <row r="11" spans="1:7" ht="28.5" customHeight="1" x14ac:dyDescent="0.25">
      <c r="A11" s="1"/>
      <c r="B11" s="20" t="s">
        <v>149</v>
      </c>
      <c r="C11" s="12">
        <f>SUM(C10:C10)</f>
        <v>0</v>
      </c>
      <c r="D11" s="13" t="s">
        <v>3</v>
      </c>
      <c r="E11" s="12">
        <f>SUM(E10:E10)</f>
        <v>0</v>
      </c>
      <c r="F11" s="13" t="s">
        <v>3</v>
      </c>
      <c r="G11" s="1"/>
    </row>
    <row r="12" spans="1:7" ht="27" customHeight="1" x14ac:dyDescent="0.25">
      <c r="A12" s="1"/>
      <c r="B12" s="20" t="s">
        <v>189</v>
      </c>
      <c r="C12" s="12">
        <f>C11*(1+'Fane 13. Nøgletal'!C15)</f>
        <v>0</v>
      </c>
      <c r="D12" s="13" t="s">
        <v>3</v>
      </c>
      <c r="E12" s="12">
        <f>E11*(1+'Fane 13. Nøgletal'!C15)</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62E5NK6oZqi0vt+ZdjqIElHpkGJ9HAonFm6CxqmXMIVj1ezckuHxJT0/eicUFYfSC/Dm7yfBT7lc2FaYdFECyg==" saltValue="2KgaAoFstgXDrcoOJryvHg=="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G41"/>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0" t="s">
        <v>224</v>
      </c>
      <c r="C3" s="120"/>
      <c r="D3" s="120"/>
      <c r="E3" s="120"/>
      <c r="F3" s="120"/>
      <c r="G3" s="1"/>
    </row>
    <row r="4" spans="1:7" ht="25.5" customHeight="1" x14ac:dyDescent="0.25">
      <c r="A4" s="1"/>
      <c r="B4" s="120"/>
      <c r="C4" s="120"/>
      <c r="D4" s="120"/>
      <c r="E4" s="120"/>
      <c r="F4" s="12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117" t="s">
        <v>85</v>
      </c>
      <c r="C10" s="118"/>
      <c r="D10" s="118"/>
      <c r="E10" s="118"/>
      <c r="F10" s="119"/>
      <c r="G10" s="1"/>
    </row>
    <row r="11" spans="1:7" ht="26.25" x14ac:dyDescent="0.25">
      <c r="A11" s="1"/>
      <c r="B11" s="65" t="s">
        <v>16</v>
      </c>
      <c r="C11" s="65" t="s">
        <v>10</v>
      </c>
      <c r="D11" s="66"/>
      <c r="E11" s="65" t="s">
        <v>29</v>
      </c>
      <c r="F11" s="66"/>
      <c r="G11" s="1"/>
    </row>
    <row r="12" spans="1:7" x14ac:dyDescent="0.25">
      <c r="A12" s="1"/>
      <c r="B12" s="22" t="s">
        <v>243</v>
      </c>
      <c r="C12" s="9">
        <v>0</v>
      </c>
      <c r="D12" s="14" t="s">
        <v>3</v>
      </c>
      <c r="E12" s="9">
        <v>0</v>
      </c>
      <c r="F12" s="14" t="s">
        <v>3</v>
      </c>
      <c r="G12" s="1"/>
    </row>
    <row r="13" spans="1:7" x14ac:dyDescent="0.25">
      <c r="A13" s="1"/>
      <c r="B13" s="63" t="s">
        <v>196</v>
      </c>
      <c r="C13" s="12">
        <f>SUM(C12:C12)</f>
        <v>0</v>
      </c>
      <c r="D13" s="13" t="s">
        <v>3</v>
      </c>
      <c r="E13" s="12">
        <f>SUM(E12:E12)</f>
        <v>0</v>
      </c>
      <c r="F13" s="13" t="s">
        <v>3</v>
      </c>
      <c r="G13" s="1"/>
    </row>
    <row r="14" spans="1:7" x14ac:dyDescent="0.25">
      <c r="A14" s="1"/>
      <c r="B14" s="63" t="s">
        <v>83</v>
      </c>
      <c r="C14" s="12">
        <f>C13*(1+'Fane 13. Nøgletal'!C15)</f>
        <v>0</v>
      </c>
      <c r="D14" s="13" t="s">
        <v>3</v>
      </c>
      <c r="E14" s="12">
        <f>E13*(1+'Fane 13. Nøgletal'!C15)</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sheetData>
  <sheetProtection algorithmName="SHA-512" hashValue="3DUprWyLmsC5shnYq4IqJIZz/Ulv3+ZnAya51YhMkJ3iOSgcXYIB0B6SocGBmGTJvGHrdsDWGml7Klo6ER61pQ==" saltValue="cJbTl/J0fVPuA/RchqKrzg=="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D48"/>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5" customWidth="1"/>
    <col min="4" max="4" width="9" style="2" customWidth="1"/>
    <col min="5" max="16384" width="9.140625" style="2"/>
  </cols>
  <sheetData>
    <row r="1" spans="1:4" x14ac:dyDescent="0.25">
      <c r="A1" s="1"/>
      <c r="B1" s="1"/>
      <c r="C1" s="40"/>
      <c r="D1" s="1"/>
    </row>
    <row r="2" spans="1:4" x14ac:dyDescent="0.25">
      <c r="A2" s="1"/>
      <c r="B2" s="1"/>
      <c r="C2" s="40"/>
      <c r="D2" s="1"/>
    </row>
    <row r="3" spans="1:4" ht="15" customHeight="1" x14ac:dyDescent="0.25">
      <c r="A3" s="1"/>
      <c r="B3" s="120" t="s">
        <v>225</v>
      </c>
      <c r="C3" s="120"/>
      <c r="D3" s="1"/>
    </row>
    <row r="4" spans="1:4" ht="25.5" customHeight="1" x14ac:dyDescent="0.25">
      <c r="A4" s="1"/>
      <c r="B4" s="120"/>
      <c r="C4" s="120"/>
      <c r="D4" s="1"/>
    </row>
    <row r="5" spans="1:4" x14ac:dyDescent="0.25">
      <c r="A5" s="1"/>
      <c r="B5" s="1"/>
      <c r="C5" s="40"/>
      <c r="D5" s="1"/>
    </row>
    <row r="6" spans="1:4" x14ac:dyDescent="0.25">
      <c r="A6" s="1"/>
      <c r="B6" s="1"/>
      <c r="C6" s="40"/>
      <c r="D6" s="1"/>
    </row>
    <row r="7" spans="1:4" x14ac:dyDescent="0.25">
      <c r="A7" s="1"/>
      <c r="B7" s="1"/>
      <c r="C7" s="40"/>
      <c r="D7" s="1"/>
    </row>
    <row r="8" spans="1:4" x14ac:dyDescent="0.25">
      <c r="A8" s="1"/>
      <c r="B8" s="63" t="s">
        <v>13</v>
      </c>
      <c r="C8" s="41"/>
      <c r="D8" s="1"/>
    </row>
    <row r="9" spans="1:4" x14ac:dyDescent="0.25">
      <c r="A9" s="1"/>
      <c r="B9" s="75" t="s">
        <v>101</v>
      </c>
      <c r="C9" s="42">
        <v>1.2699999999999999E-2</v>
      </c>
      <c r="D9" s="1"/>
    </row>
    <row r="10" spans="1:4" x14ac:dyDescent="0.25">
      <c r="A10" s="1"/>
      <c r="B10" s="75" t="s">
        <v>21</v>
      </c>
      <c r="C10" s="42">
        <v>1.7500000000000002E-2</v>
      </c>
      <c r="D10" s="1"/>
    </row>
    <row r="11" spans="1:4" x14ac:dyDescent="0.25">
      <c r="A11" s="1"/>
      <c r="B11" s="75" t="s">
        <v>102</v>
      </c>
      <c r="C11" s="42">
        <v>1.6899999999999998E-2</v>
      </c>
      <c r="D11" s="1"/>
    </row>
    <row r="12" spans="1:4" x14ac:dyDescent="0.25">
      <c r="A12" s="1"/>
      <c r="B12" s="24" t="s">
        <v>37</v>
      </c>
      <c r="C12" s="43">
        <v>1.9699999999999999E-2</v>
      </c>
      <c r="D12" s="1"/>
    </row>
    <row r="13" spans="1:4" x14ac:dyDescent="0.25">
      <c r="A13" s="1"/>
      <c r="B13" s="24" t="s">
        <v>118</v>
      </c>
      <c r="C13" s="43">
        <v>1.2200000000000001E-2</v>
      </c>
      <c r="D13" s="1"/>
    </row>
    <row r="14" spans="1:4" x14ac:dyDescent="0.25">
      <c r="A14" s="1"/>
      <c r="B14" s="24" t="s">
        <v>150</v>
      </c>
      <c r="C14" s="44">
        <v>3.3E-3</v>
      </c>
      <c r="D14" s="1"/>
    </row>
    <row r="15" spans="1:4" x14ac:dyDescent="0.25">
      <c r="A15" s="1"/>
      <c r="B15" s="24" t="s">
        <v>190</v>
      </c>
      <c r="C15" s="44">
        <v>3.56E-2</v>
      </c>
      <c r="D15" s="1"/>
    </row>
    <row r="16" spans="1:4" x14ac:dyDescent="0.25">
      <c r="A16" s="1"/>
      <c r="B16" s="117"/>
      <c r="C16" s="119"/>
      <c r="D16" s="1"/>
    </row>
    <row r="17" spans="1:4" x14ac:dyDescent="0.25">
      <c r="A17" s="1"/>
      <c r="B17" s="1"/>
      <c r="C17" s="40"/>
      <c r="D17" s="1"/>
    </row>
    <row r="18" spans="1:4" x14ac:dyDescent="0.25">
      <c r="A18" s="1"/>
      <c r="B18" s="1"/>
      <c r="C18" s="40"/>
      <c r="D18" s="1"/>
    </row>
    <row r="19" spans="1:4" x14ac:dyDescent="0.25">
      <c r="A19" s="1"/>
      <c r="B19" s="63" t="s">
        <v>89</v>
      </c>
      <c r="C19" s="41"/>
      <c r="D19" s="1"/>
    </row>
    <row r="20" spans="1:4" x14ac:dyDescent="0.25">
      <c r="A20" s="1"/>
      <c r="B20" s="75" t="s">
        <v>103</v>
      </c>
      <c r="C20" s="44">
        <v>9.1000000000000004E-3</v>
      </c>
      <c r="D20" s="1"/>
    </row>
    <row r="21" spans="1:4" x14ac:dyDescent="0.25">
      <c r="A21" s="1"/>
      <c r="B21" s="75" t="s">
        <v>104</v>
      </c>
      <c r="C21" s="44">
        <v>1.77E-2</v>
      </c>
      <c r="D21" s="1"/>
    </row>
    <row r="22" spans="1:4" x14ac:dyDescent="0.25">
      <c r="A22" s="1"/>
      <c r="B22" s="75" t="s">
        <v>105</v>
      </c>
      <c r="C22" s="44">
        <v>8.6999999999999994E-3</v>
      </c>
      <c r="D22" s="1"/>
    </row>
    <row r="23" spans="1:4" x14ac:dyDescent="0.25">
      <c r="A23" s="1"/>
      <c r="B23" s="75" t="s">
        <v>106</v>
      </c>
      <c r="C23" s="44">
        <v>2.8399999999999998E-2</v>
      </c>
      <c r="D23" s="1"/>
    </row>
    <row r="24" spans="1:4" x14ac:dyDescent="0.25">
      <c r="A24" s="1"/>
      <c r="B24" s="75" t="s">
        <v>120</v>
      </c>
      <c r="C24" s="44">
        <v>2.75E-2</v>
      </c>
      <c r="D24" s="1"/>
    </row>
    <row r="25" spans="1:4" x14ac:dyDescent="0.25">
      <c r="A25" s="1"/>
      <c r="B25" s="75" t="s">
        <v>151</v>
      </c>
      <c r="C25" s="44">
        <v>1.4800000000000001E-2</v>
      </c>
      <c r="D25" s="1"/>
    </row>
    <row r="26" spans="1:4" x14ac:dyDescent="0.25">
      <c r="A26" s="1"/>
      <c r="B26" s="24" t="s">
        <v>191</v>
      </c>
      <c r="C26" s="44">
        <v>0</v>
      </c>
      <c r="D26" s="1"/>
    </row>
    <row r="27" spans="1:4" x14ac:dyDescent="0.25">
      <c r="A27" s="1"/>
      <c r="B27" s="63"/>
      <c r="C27" s="41"/>
      <c r="D27" s="1"/>
    </row>
    <row r="28" spans="1:4" x14ac:dyDescent="0.25">
      <c r="A28" s="1"/>
      <c r="B28" s="1"/>
      <c r="C28" s="40"/>
      <c r="D28" s="1"/>
    </row>
    <row r="29" spans="1:4" x14ac:dyDescent="0.25">
      <c r="A29" s="1"/>
      <c r="B29" s="1"/>
      <c r="C29" s="40"/>
      <c r="D29" s="1"/>
    </row>
    <row r="30" spans="1:4" x14ac:dyDescent="0.25">
      <c r="A30" s="1"/>
      <c r="B30" s="63" t="s">
        <v>90</v>
      </c>
      <c r="C30" s="41"/>
      <c r="D30" s="1"/>
    </row>
    <row r="31" spans="1:4" x14ac:dyDescent="0.25">
      <c r="A31" s="1"/>
      <c r="B31" s="75" t="s">
        <v>107</v>
      </c>
      <c r="C31" s="42">
        <v>0.02</v>
      </c>
      <c r="D31" s="1"/>
    </row>
    <row r="32" spans="1:4" x14ac:dyDescent="0.25">
      <c r="A32" s="1"/>
      <c r="B32" s="63"/>
      <c r="C32" s="41"/>
      <c r="D32" s="1"/>
    </row>
    <row r="33" spans="1:4" x14ac:dyDescent="0.25">
      <c r="A33" s="1"/>
      <c r="B33" s="1"/>
      <c r="C33" s="40"/>
      <c r="D33" s="1"/>
    </row>
    <row r="34" spans="1:4" x14ac:dyDescent="0.25">
      <c r="A34" s="1"/>
      <c r="B34" s="1"/>
      <c r="C34" s="40"/>
      <c r="D34" s="1"/>
    </row>
    <row r="35" spans="1:4" x14ac:dyDescent="0.25">
      <c r="A35" s="1"/>
      <c r="B35" s="1"/>
      <c r="C35" s="40"/>
      <c r="D35" s="1"/>
    </row>
    <row r="36" spans="1:4" x14ac:dyDescent="0.25">
      <c r="A36" s="1"/>
      <c r="B36" s="1"/>
      <c r="C36" s="40"/>
      <c r="D36" s="1"/>
    </row>
    <row r="37" spans="1:4" x14ac:dyDescent="0.25">
      <c r="A37" s="1"/>
      <c r="B37" s="1"/>
      <c r="C37" s="40"/>
      <c r="D37" s="1"/>
    </row>
    <row r="38" spans="1:4" x14ac:dyDescent="0.25">
      <c r="A38" s="1"/>
      <c r="B38" s="1"/>
      <c r="C38" s="40"/>
      <c r="D38" s="1"/>
    </row>
    <row r="39" spans="1:4" x14ac:dyDescent="0.25">
      <c r="A39" s="1"/>
      <c r="B39" s="1"/>
      <c r="C39" s="40"/>
      <c r="D39" s="1"/>
    </row>
    <row r="40" spans="1:4" x14ac:dyDescent="0.25">
      <c r="A40" s="1"/>
      <c r="B40" s="1"/>
      <c r="C40" s="40"/>
      <c r="D40" s="1"/>
    </row>
    <row r="41" spans="1:4" x14ac:dyDescent="0.25">
      <c r="A41" s="1"/>
      <c r="B41" s="1"/>
      <c r="C41" s="40"/>
      <c r="D41" s="1"/>
    </row>
    <row r="42" spans="1:4" x14ac:dyDescent="0.25">
      <c r="A42" s="1"/>
      <c r="B42" s="1"/>
      <c r="C42" s="40"/>
      <c r="D42" s="1"/>
    </row>
    <row r="43" spans="1:4" x14ac:dyDescent="0.25">
      <c r="A43" s="1"/>
      <c r="B43" s="1"/>
      <c r="C43" s="40"/>
      <c r="D43" s="1"/>
    </row>
    <row r="44" spans="1:4" x14ac:dyDescent="0.25">
      <c r="A44" s="1"/>
      <c r="B44" s="1"/>
      <c r="C44" s="40"/>
      <c r="D44" s="1"/>
    </row>
    <row r="45" spans="1:4" x14ac:dyDescent="0.25">
      <c r="A45" s="1"/>
      <c r="B45" s="1"/>
      <c r="C45" s="40"/>
      <c r="D45" s="1"/>
    </row>
    <row r="46" spans="1:4" x14ac:dyDescent="0.25">
      <c r="A46" s="1"/>
      <c r="B46" s="1"/>
      <c r="C46" s="40"/>
      <c r="D46" s="1"/>
    </row>
    <row r="47" spans="1:4" x14ac:dyDescent="0.25">
      <c r="A47" s="1"/>
      <c r="B47" s="1"/>
      <c r="C47" s="40"/>
      <c r="D47" s="1"/>
    </row>
    <row r="48" spans="1:4" x14ac:dyDescent="0.25">
      <c r="A48" s="1"/>
      <c r="B48" s="1"/>
      <c r="C48" s="40"/>
      <c r="D48" s="1"/>
    </row>
  </sheetData>
  <sheetProtection algorithmName="SHA-512" hashValue="w36BdcTRFB9+M9R2hsRnsXwqFFdjai9PAeSC40i3+KqQvr8uGqm7LPHlwm3kf7niWu0eQmts2gBoPJ7Zjw4vtQ==" saltValue="+2q0OCAdxfZ4LvNogcVNlA==" spinCount="100000" sheet="1" objects="1" scenarios="1"/>
  <mergeCells count="2">
    <mergeCell ref="B3:C4"/>
    <mergeCell ref="B16:C16"/>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E45"/>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8" t="s">
        <v>165</v>
      </c>
      <c r="C3" s="98"/>
      <c r="D3" s="98"/>
      <c r="E3" s="1"/>
    </row>
    <row r="4" spans="1:5" ht="15" customHeight="1" x14ac:dyDescent="0.25">
      <c r="A4" s="1"/>
      <c r="B4" s="98"/>
      <c r="C4" s="98"/>
      <c r="D4" s="98"/>
      <c r="E4" s="1"/>
    </row>
    <row r="5" spans="1:5" x14ac:dyDescent="0.25">
      <c r="A5" s="1"/>
      <c r="B5" s="1"/>
      <c r="C5" s="1"/>
      <c r="D5" s="1"/>
      <c r="E5" s="1"/>
    </row>
    <row r="6" spans="1:5" x14ac:dyDescent="0.25">
      <c r="A6" s="1"/>
      <c r="B6" s="1"/>
      <c r="C6" s="1"/>
      <c r="D6" s="1"/>
      <c r="E6" s="1"/>
    </row>
    <row r="7" spans="1:5" x14ac:dyDescent="0.25">
      <c r="A7" s="1"/>
      <c r="B7" s="63" t="s">
        <v>12</v>
      </c>
      <c r="C7" s="64"/>
      <c r="D7" s="19"/>
      <c r="E7" s="1"/>
    </row>
    <row r="8" spans="1:5" x14ac:dyDescent="0.25">
      <c r="A8" s="1"/>
      <c r="B8" s="71" t="s">
        <v>116</v>
      </c>
      <c r="C8" s="7">
        <f>'Fane 3. Omkostninger i ØR2022'!E20</f>
        <v>15116430.877488252</v>
      </c>
      <c r="D8" s="8" t="s">
        <v>3</v>
      </c>
      <c r="E8" s="1"/>
    </row>
    <row r="9" spans="1:5" ht="17.100000000000001" customHeight="1" x14ac:dyDescent="0.25">
      <c r="A9" s="1"/>
      <c r="B9" s="23" t="s">
        <v>35</v>
      </c>
      <c r="C9" s="7">
        <f>'Fane 10.1. Varige tillæg'!C13</f>
        <v>0</v>
      </c>
      <c r="D9" s="8" t="s">
        <v>3</v>
      </c>
      <c r="E9" s="1"/>
    </row>
    <row r="10" spans="1:5" ht="17.100000000000001" customHeight="1" x14ac:dyDescent="0.25">
      <c r="A10" s="1"/>
      <c r="B10" s="23" t="s">
        <v>36</v>
      </c>
      <c r="C10" s="9">
        <f>'Fane 10.1. Varige tillæg'!E13</f>
        <v>0</v>
      </c>
      <c r="D10" s="8" t="s">
        <v>3</v>
      </c>
      <c r="E10" s="1"/>
    </row>
    <row r="11" spans="1:5" ht="17.100000000000001" customHeight="1" x14ac:dyDescent="0.25">
      <c r="A11" s="1"/>
      <c r="B11" s="23" t="s">
        <v>26</v>
      </c>
      <c r="C11" s="9">
        <f>-'Fane 12. Bortfald'!C14</f>
        <v>0</v>
      </c>
      <c r="D11" s="8" t="s">
        <v>3</v>
      </c>
      <c r="E11" s="1"/>
    </row>
    <row r="12" spans="1:5" ht="17.100000000000001" customHeight="1" x14ac:dyDescent="0.25">
      <c r="A12" s="1"/>
      <c r="B12" s="23" t="s">
        <v>25</v>
      </c>
      <c r="C12" s="9">
        <f>-'Fane 12. Bortfald'!E14</f>
        <v>0</v>
      </c>
      <c r="D12" s="8" t="s">
        <v>3</v>
      </c>
      <c r="E12" s="1"/>
    </row>
    <row r="13" spans="1:5" ht="17.100000000000001" customHeight="1" x14ac:dyDescent="0.25">
      <c r="A13" s="1"/>
      <c r="B13" s="23" t="s">
        <v>114</v>
      </c>
      <c r="C13" s="9">
        <f>'Fane 11. Tilknyttet virksomhed'!C12</f>
        <v>0</v>
      </c>
      <c r="D13" s="8" t="s">
        <v>3</v>
      </c>
      <c r="E13" s="1"/>
    </row>
    <row r="14" spans="1:5" ht="17.100000000000001" customHeight="1" x14ac:dyDescent="0.25">
      <c r="A14" s="1"/>
      <c r="B14" s="23" t="s">
        <v>115</v>
      </c>
      <c r="C14" s="9">
        <f>'Fane 11. Tilknyttet virksomhed'!E12</f>
        <v>0</v>
      </c>
      <c r="D14" s="8" t="s">
        <v>3</v>
      </c>
      <c r="E14" s="1"/>
    </row>
    <row r="15" spans="1:5" ht="17.100000000000001" customHeight="1" x14ac:dyDescent="0.25">
      <c r="A15" s="1"/>
      <c r="B15" s="23" t="s">
        <v>17</v>
      </c>
      <c r="C15" s="9">
        <f>SUM(C8:C14)*'Fane 13. Nøgletal'!C15</f>
        <v>538144.93923858181</v>
      </c>
      <c r="D15" s="8" t="s">
        <v>3</v>
      </c>
      <c r="E15" s="1"/>
    </row>
    <row r="16" spans="1:5" ht="17.100000000000001" customHeight="1" x14ac:dyDescent="0.25">
      <c r="A16" s="1"/>
      <c r="B16" s="23" t="s">
        <v>9</v>
      </c>
      <c r="C16" s="9">
        <f>-SUM(C8,C9:C15)*'Fane 5. Individuelt eff. krav'!G9</f>
        <v>0</v>
      </c>
      <c r="D16" s="8" t="s">
        <v>3</v>
      </c>
      <c r="E16" s="1"/>
    </row>
    <row r="17" spans="1:5" ht="17.100000000000001" customHeight="1" x14ac:dyDescent="0.25">
      <c r="A17" s="1"/>
      <c r="B17" s="23" t="s">
        <v>23</v>
      </c>
      <c r="C17" s="9">
        <f>-'Fane 4.1. Gen. krav - drift'!G43</f>
        <v>-128178.66813770241</v>
      </c>
      <c r="D17" s="8" t="s">
        <v>3</v>
      </c>
      <c r="E17" s="1"/>
    </row>
    <row r="18" spans="1:5" ht="17.100000000000001" customHeight="1" x14ac:dyDescent="0.25">
      <c r="A18" s="1"/>
      <c r="B18" s="23" t="s">
        <v>24</v>
      </c>
      <c r="C18" s="9">
        <f>-'Fane 4.2. Gen. krav - anlæg'!G43</f>
        <v>0</v>
      </c>
      <c r="D18" s="8" t="s">
        <v>3</v>
      </c>
      <c r="E18" s="1"/>
    </row>
    <row r="19" spans="1:5" ht="17.100000000000001" customHeight="1" x14ac:dyDescent="0.25">
      <c r="A19" s="1"/>
      <c r="B19" s="47" t="s">
        <v>19</v>
      </c>
      <c r="C19" s="10">
        <f>SUM(C8,C9:C18)</f>
        <v>15526397.14858913</v>
      </c>
      <c r="D19" s="11" t="s">
        <v>3</v>
      </c>
      <c r="E19" s="1"/>
    </row>
    <row r="20" spans="1:5" ht="15" customHeight="1" x14ac:dyDescent="0.25">
      <c r="A20" s="1"/>
      <c r="B20" s="63" t="s">
        <v>11</v>
      </c>
      <c r="C20" s="64"/>
      <c r="D20" s="19"/>
      <c r="E20" s="1"/>
    </row>
    <row r="21" spans="1:5" ht="15" customHeight="1" x14ac:dyDescent="0.25">
      <c r="A21" s="1"/>
      <c r="B21" s="65" t="s">
        <v>11</v>
      </c>
      <c r="C21" s="10">
        <f>'Fane 6. Ikke-påvirkelige omk.'!C15</f>
        <v>13249229.591419201</v>
      </c>
      <c r="D21" s="11" t="s">
        <v>3</v>
      </c>
      <c r="E21" s="1"/>
    </row>
    <row r="22" spans="1:5" ht="15" customHeight="1" x14ac:dyDescent="0.25">
      <c r="A22" s="1"/>
      <c r="B22" s="63" t="s">
        <v>80</v>
      </c>
      <c r="C22" s="64"/>
      <c r="D22" s="19"/>
      <c r="E22" s="1"/>
    </row>
    <row r="23" spans="1:5" ht="15" customHeight="1" x14ac:dyDescent="0.25">
      <c r="A23" s="1"/>
      <c r="B23" s="23" t="s">
        <v>76</v>
      </c>
      <c r="C23" s="9">
        <f>'Fane 10.2. Engangstillæg'!C13</f>
        <v>0</v>
      </c>
      <c r="D23" s="8" t="s">
        <v>3</v>
      </c>
      <c r="E23" s="1"/>
    </row>
    <row r="24" spans="1:5" ht="15" customHeight="1" x14ac:dyDescent="0.25">
      <c r="A24" s="1"/>
      <c r="B24" s="23" t="s">
        <v>77</v>
      </c>
      <c r="C24" s="9">
        <f>'Fane 10.2. Engangstillæg'!E13</f>
        <v>0</v>
      </c>
      <c r="D24" s="8" t="s">
        <v>3</v>
      </c>
      <c r="E24" s="1"/>
    </row>
    <row r="25" spans="1:5" ht="15" customHeight="1" x14ac:dyDescent="0.25">
      <c r="A25" s="1"/>
      <c r="B25" s="23" t="s">
        <v>206</v>
      </c>
      <c r="C25" s="9">
        <f>-C23*('Fane 13. Nøgletal'!C31+'Fane 5. Individuelt eff. krav'!G9)</f>
        <v>0</v>
      </c>
      <c r="D25" s="8" t="s">
        <v>3</v>
      </c>
      <c r="E25" s="1"/>
    </row>
    <row r="26" spans="1:5" ht="15" customHeight="1" x14ac:dyDescent="0.25">
      <c r="A26" s="1"/>
      <c r="B26" s="23" t="s">
        <v>207</v>
      </c>
      <c r="C26" s="9">
        <f>-C24*('Fane 13. Nøgletal'!C26+'Fane 5. Individuelt eff. krav'!G9)</f>
        <v>0</v>
      </c>
      <c r="D26" s="8" t="s">
        <v>3</v>
      </c>
      <c r="E26" s="1"/>
    </row>
    <row r="27" spans="1:5" x14ac:dyDescent="0.25">
      <c r="A27" s="1"/>
      <c r="B27" s="47" t="s">
        <v>81</v>
      </c>
      <c r="C27" s="46">
        <f>SUM(C23:C26)</f>
        <v>0</v>
      </c>
      <c r="D27" s="11" t="s">
        <v>3</v>
      </c>
      <c r="E27" s="1"/>
    </row>
    <row r="28" spans="1:5" ht="15" customHeight="1" x14ac:dyDescent="0.25">
      <c r="A28" s="1"/>
      <c r="B28" s="25" t="s">
        <v>128</v>
      </c>
      <c r="C28" s="64"/>
      <c r="D28" s="19"/>
      <c r="E28" s="1"/>
    </row>
    <row r="29" spans="1:5" x14ac:dyDescent="0.25">
      <c r="A29" s="1"/>
      <c r="B29" s="76" t="s">
        <v>129</v>
      </c>
      <c r="C29" s="10">
        <f>'Fane 7. Kontrol af ØR2021'!E31</f>
        <v>0</v>
      </c>
      <c r="D29" s="11" t="s">
        <v>3</v>
      </c>
      <c r="E29" s="1"/>
    </row>
    <row r="30" spans="1:5" x14ac:dyDescent="0.25">
      <c r="A30" s="1"/>
      <c r="B30" s="25" t="s">
        <v>153</v>
      </c>
      <c r="C30" s="64"/>
      <c r="D30" s="19"/>
      <c r="E30" s="1"/>
    </row>
    <row r="31" spans="1:5" x14ac:dyDescent="0.25">
      <c r="A31" s="1"/>
      <c r="B31" s="76" t="s">
        <v>154</v>
      </c>
      <c r="C31" s="10">
        <f>'Fane 8. Skattesagen'!G12</f>
        <v>0</v>
      </c>
      <c r="D31" s="11" t="s">
        <v>3</v>
      </c>
      <c r="E31" s="1"/>
    </row>
    <row r="32" spans="1:5" x14ac:dyDescent="0.25">
      <c r="A32" s="1"/>
      <c r="B32" s="63" t="s">
        <v>84</v>
      </c>
      <c r="C32" s="34">
        <f>SUM(C19,C21,C27,C29,C31)</f>
        <v>28775626.740008332</v>
      </c>
      <c r="D32" s="19" t="s">
        <v>3</v>
      </c>
      <c r="E32" s="1"/>
    </row>
    <row r="33" spans="1:5" x14ac:dyDescent="0.25">
      <c r="A33" s="1"/>
      <c r="B33" s="1" t="s">
        <v>210</v>
      </c>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dUamqqwNe4z/R0fa1r6uyWVnySFaL9awdMiuzFA/fpualCn1pw/xPcmGgXQrQb0KSnfa9C13fpvtmvzyEhZXSQ==" saltValue="Owsc/cHDt6Tay2Sdprq1Xw=="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E4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8" t="s">
        <v>166</v>
      </c>
      <c r="C3" s="98"/>
      <c r="D3" s="98"/>
      <c r="E3" s="1"/>
    </row>
    <row r="4" spans="1:5" ht="15" customHeight="1" x14ac:dyDescent="0.25">
      <c r="A4" s="1"/>
      <c r="B4" s="98"/>
      <c r="C4" s="98"/>
      <c r="D4" s="98"/>
      <c r="E4" s="1"/>
    </row>
    <row r="5" spans="1:5" x14ac:dyDescent="0.25">
      <c r="A5" s="1"/>
      <c r="B5" s="99"/>
      <c r="C5" s="99"/>
      <c r="D5" s="99"/>
      <c r="E5" s="1"/>
    </row>
    <row r="6" spans="1:5" x14ac:dyDescent="0.25">
      <c r="A6" s="1"/>
      <c r="B6" s="1"/>
      <c r="C6" s="1"/>
      <c r="D6" s="1"/>
      <c r="E6" s="1"/>
    </row>
    <row r="7" spans="1:5" x14ac:dyDescent="0.25">
      <c r="A7" s="1"/>
      <c r="B7" s="63" t="s">
        <v>12</v>
      </c>
      <c r="C7" s="64"/>
      <c r="D7" s="19"/>
      <c r="E7" s="1"/>
    </row>
    <row r="8" spans="1:5" ht="15" customHeight="1" x14ac:dyDescent="0.25">
      <c r="A8" s="1"/>
      <c r="B8" s="71" t="s">
        <v>117</v>
      </c>
      <c r="C8" s="7">
        <f>'Fane 2.1. Økonomisk ramme 2023'!C19</f>
        <v>15526397.14858913</v>
      </c>
      <c r="D8" s="8" t="s">
        <v>3</v>
      </c>
      <c r="E8" s="1"/>
    </row>
    <row r="9" spans="1:5" ht="15" customHeight="1" x14ac:dyDescent="0.25">
      <c r="A9" s="1"/>
      <c r="B9" s="60" t="s">
        <v>17</v>
      </c>
      <c r="C9" s="9">
        <f>SUM(C8:C8)*'Fane 13. Nøgletal'!C15</f>
        <v>552739.73848977301</v>
      </c>
      <c r="D9" s="8" t="s">
        <v>3</v>
      </c>
      <c r="E9" s="1"/>
    </row>
    <row r="10" spans="1:5" ht="15" customHeight="1" x14ac:dyDescent="0.25">
      <c r="A10" s="1"/>
      <c r="B10" s="60" t="s">
        <v>9</v>
      </c>
      <c r="C10" s="9">
        <f>-SUM(C8:C9)*'Fane 5. Individuelt eff. krav'!G9</f>
        <v>0</v>
      </c>
      <c r="D10" s="8" t="s">
        <v>3</v>
      </c>
      <c r="E10" s="1"/>
    </row>
    <row r="11" spans="1:5" ht="15" customHeight="1" x14ac:dyDescent="0.25">
      <c r="A11" s="1"/>
      <c r="B11" s="60" t="s">
        <v>23</v>
      </c>
      <c r="C11" s="9">
        <f>-'Fane 4.1. Gen. krav - drift'!G48</f>
        <v>-130086.99214893652</v>
      </c>
      <c r="D11" s="8" t="s">
        <v>3</v>
      </c>
      <c r="E11" s="1"/>
    </row>
    <row r="12" spans="1:5" ht="15" customHeight="1" x14ac:dyDescent="0.25">
      <c r="A12" s="1"/>
      <c r="B12" s="60" t="s">
        <v>24</v>
      </c>
      <c r="C12" s="9">
        <f>-'Fane 4.2. Gen. krav - anlæg'!G48</f>
        <v>0</v>
      </c>
      <c r="D12" s="8" t="s">
        <v>3</v>
      </c>
      <c r="E12" s="1"/>
    </row>
    <row r="13" spans="1:5" ht="15" customHeight="1" x14ac:dyDescent="0.25">
      <c r="A13" s="1"/>
      <c r="B13" s="32" t="s">
        <v>19</v>
      </c>
      <c r="C13" s="10">
        <f>SUM(C8:C12)</f>
        <v>15949049.894929968</v>
      </c>
      <c r="D13" s="11" t="s">
        <v>3</v>
      </c>
      <c r="E13" s="1"/>
    </row>
    <row r="14" spans="1:5" x14ac:dyDescent="0.25">
      <c r="A14" s="1"/>
      <c r="B14" s="63" t="s">
        <v>11</v>
      </c>
      <c r="C14" s="64"/>
      <c r="D14" s="19"/>
      <c r="E14" s="1"/>
    </row>
    <row r="15" spans="1:5" ht="15" customHeight="1" x14ac:dyDescent="0.25">
      <c r="A15" s="1"/>
      <c r="B15" s="65" t="s">
        <v>11</v>
      </c>
      <c r="C15" s="10">
        <f>'Fane 6. Ikke-påvirkelige omk.'!C15*(1+'Fane 13. Nøgletal'!C15)</f>
        <v>13720902.164873727</v>
      </c>
      <c r="D15" s="11" t="s">
        <v>3</v>
      </c>
      <c r="E15" s="1"/>
    </row>
    <row r="16" spans="1:5" x14ac:dyDescent="0.25">
      <c r="A16" s="1"/>
      <c r="B16" s="25" t="s">
        <v>128</v>
      </c>
      <c r="C16" s="64"/>
      <c r="D16" s="19"/>
      <c r="E16" s="1"/>
    </row>
    <row r="17" spans="1:5" ht="15" customHeight="1" x14ac:dyDescent="0.25">
      <c r="A17" s="1"/>
      <c r="B17" s="76" t="s">
        <v>129</v>
      </c>
      <c r="C17" s="10">
        <f>'Fane 7. Kontrol af ØR2021'!E31</f>
        <v>0</v>
      </c>
      <c r="D17" s="11" t="s">
        <v>3</v>
      </c>
      <c r="E17" s="1"/>
    </row>
    <row r="18" spans="1:5" x14ac:dyDescent="0.25">
      <c r="A18" s="1"/>
      <c r="B18" s="25" t="s">
        <v>153</v>
      </c>
      <c r="C18" s="64"/>
      <c r="D18" s="19"/>
      <c r="E18" s="1"/>
    </row>
    <row r="19" spans="1:5" x14ac:dyDescent="0.25">
      <c r="A19" s="1"/>
      <c r="B19" s="76" t="s">
        <v>154</v>
      </c>
      <c r="C19" s="10">
        <f>'Fane 8. Skattesagen'!G13</f>
        <v>0</v>
      </c>
      <c r="D19" s="11" t="s">
        <v>3</v>
      </c>
      <c r="E19" s="1"/>
    </row>
    <row r="20" spans="1:5" x14ac:dyDescent="0.25">
      <c r="A20" s="1"/>
      <c r="B20" s="63" t="s">
        <v>138</v>
      </c>
      <c r="C20" s="12">
        <f>SUM(C13,C15,C17,C19)</f>
        <v>29669952.059803694</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sheetData>
  <sheetProtection algorithmName="SHA-512" hashValue="gncvwZU00pyKwXSEGzZYFP/k9oGXfXMjUCW5yNKEMn6qt7yOQoitqd9pw4x2NXtcmKs/18TO9qq9KvGzgRJg5Q==" saltValue="w3yFHmvyNNyPNqqPY42P2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E41"/>
  <sheetViews>
    <sheetView showGridLines="0" view="pageLayout" zoomScaleNormal="100" workbookViewId="0"/>
  </sheetViews>
  <sheetFormatPr defaultColWidth="9.140625" defaultRowHeight="15" x14ac:dyDescent="0.25"/>
  <cols>
    <col min="1" max="1" width="5.140625" style="2" customWidth="1"/>
    <col min="2" max="2" width="63.28515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8" t="s">
        <v>167</v>
      </c>
      <c r="C3" s="98"/>
      <c r="D3" s="98"/>
      <c r="E3" s="1"/>
    </row>
    <row r="4" spans="1:5" ht="15" customHeight="1" x14ac:dyDescent="0.25">
      <c r="A4" s="1"/>
      <c r="B4" s="98"/>
      <c r="C4" s="98"/>
      <c r="D4" s="98"/>
      <c r="E4" s="1"/>
    </row>
    <row r="5" spans="1:5" x14ac:dyDescent="0.25">
      <c r="A5" s="1"/>
      <c r="B5" s="99" t="s">
        <v>20</v>
      </c>
      <c r="C5" s="99"/>
      <c r="D5" s="99"/>
      <c r="E5" s="1"/>
    </row>
    <row r="6" spans="1:5" x14ac:dyDescent="0.25">
      <c r="A6" s="1"/>
      <c r="B6" s="1"/>
      <c r="C6" s="1"/>
      <c r="D6" s="1"/>
      <c r="E6" s="1"/>
    </row>
    <row r="7" spans="1:5" x14ac:dyDescent="0.25">
      <c r="A7" s="1"/>
      <c r="B7" s="63" t="s">
        <v>12</v>
      </c>
      <c r="C7" s="64"/>
      <c r="D7" s="19"/>
      <c r="E7" s="1"/>
    </row>
    <row r="8" spans="1:5" ht="15" customHeight="1" x14ac:dyDescent="0.25">
      <c r="A8" s="1"/>
      <c r="B8" s="71" t="s">
        <v>139</v>
      </c>
      <c r="C8" s="7">
        <f>'Fane 2.2. Økonomisk ramme 2024'!C13</f>
        <v>15949049.894929968</v>
      </c>
      <c r="D8" s="8" t="s">
        <v>3</v>
      </c>
      <c r="E8" s="1"/>
    </row>
    <row r="9" spans="1:5" ht="15" customHeight="1" x14ac:dyDescent="0.25">
      <c r="A9" s="1"/>
      <c r="B9" s="60" t="s">
        <v>17</v>
      </c>
      <c r="C9" s="9">
        <f>SUM(C8:C8)*'Fane 13. Nøgletal'!C15</f>
        <v>567786.17625950684</v>
      </c>
      <c r="D9" s="8" t="s">
        <v>3</v>
      </c>
      <c r="E9" s="1"/>
    </row>
    <row r="10" spans="1:5" ht="15" customHeight="1" x14ac:dyDescent="0.25">
      <c r="A10" s="1"/>
      <c r="B10" s="60" t="s">
        <v>9</v>
      </c>
      <c r="C10" s="9">
        <f>-SUM(C8:C9)*'Fane 5. Individuelt eff. krav'!G9</f>
        <v>0</v>
      </c>
      <c r="D10" s="8" t="s">
        <v>3</v>
      </c>
      <c r="E10" s="1"/>
    </row>
    <row r="11" spans="1:5" ht="15" customHeight="1" x14ac:dyDescent="0.25">
      <c r="A11" s="1"/>
      <c r="B11" s="60" t="s">
        <v>23</v>
      </c>
      <c r="C11" s="9">
        <f>-'Fane 4.1. Gen. krav - drift'!G53</f>
        <v>-132023.72728804988</v>
      </c>
      <c r="D11" s="8" t="s">
        <v>3</v>
      </c>
      <c r="E11" s="1"/>
    </row>
    <row r="12" spans="1:5" ht="15" customHeight="1" x14ac:dyDescent="0.25">
      <c r="A12" s="1"/>
      <c r="B12" s="60" t="s">
        <v>24</v>
      </c>
      <c r="C12" s="27">
        <f>-'Fane 4.2. Gen. krav - anlæg'!G53</f>
        <v>0</v>
      </c>
      <c r="D12" s="8" t="s">
        <v>3</v>
      </c>
      <c r="E12" s="1"/>
    </row>
    <row r="13" spans="1:5" x14ac:dyDescent="0.25">
      <c r="A13" s="1"/>
      <c r="B13" s="32" t="s">
        <v>19</v>
      </c>
      <c r="C13" s="10">
        <f>SUM(C8:C12)</f>
        <v>16384812.343901424</v>
      </c>
      <c r="D13" s="11" t="s">
        <v>3</v>
      </c>
      <c r="E13" s="1"/>
    </row>
    <row r="14" spans="1:5" x14ac:dyDescent="0.25">
      <c r="A14" s="1"/>
      <c r="B14" s="63" t="s">
        <v>11</v>
      </c>
      <c r="C14" s="64"/>
      <c r="D14" s="19"/>
      <c r="E14" s="1"/>
    </row>
    <row r="15" spans="1:5" ht="15" customHeight="1" x14ac:dyDescent="0.25">
      <c r="A15" s="1"/>
      <c r="B15" s="65" t="s">
        <v>11</v>
      </c>
      <c r="C15" s="10">
        <f>'Fane 6. Ikke-påvirkelige omk.'!C15*(1+'Fane 13. Nøgletal'!C15)^2</f>
        <v>14209366.28194323</v>
      </c>
      <c r="D15" s="11" t="s">
        <v>3</v>
      </c>
      <c r="E15" s="1"/>
    </row>
    <row r="16" spans="1:5" x14ac:dyDescent="0.25">
      <c r="A16" s="1"/>
      <c r="B16" s="63" t="s">
        <v>128</v>
      </c>
      <c r="C16" s="64"/>
      <c r="D16" s="19"/>
      <c r="E16" s="1"/>
    </row>
    <row r="17" spans="1:5" x14ac:dyDescent="0.25">
      <c r="A17" s="1"/>
      <c r="B17" s="65" t="s">
        <v>129</v>
      </c>
      <c r="C17" s="10">
        <v>0</v>
      </c>
      <c r="D17" s="11" t="s">
        <v>3</v>
      </c>
      <c r="E17" s="1"/>
    </row>
    <row r="18" spans="1:5" ht="15" customHeight="1" x14ac:dyDescent="0.25">
      <c r="A18" s="1"/>
      <c r="B18" s="25" t="s">
        <v>153</v>
      </c>
      <c r="C18" s="64"/>
      <c r="D18" s="19"/>
      <c r="E18" s="1"/>
    </row>
    <row r="19" spans="1:5" ht="15" customHeight="1" x14ac:dyDescent="0.25">
      <c r="A19" s="1"/>
      <c r="B19" s="76" t="s">
        <v>154</v>
      </c>
      <c r="C19" s="10">
        <f>'Fane 8. Skattesagen'!G14</f>
        <v>0</v>
      </c>
      <c r="D19" s="11" t="s">
        <v>3</v>
      </c>
      <c r="E19" s="1"/>
    </row>
    <row r="20" spans="1:5" x14ac:dyDescent="0.25">
      <c r="A20" s="1"/>
      <c r="B20" s="63" t="s">
        <v>140</v>
      </c>
      <c r="C20" s="12">
        <f>SUM(C13,C15,C17,C19)</f>
        <v>30594178.625844654</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sheetData>
  <sheetProtection algorithmName="SHA-512" hashValue="AIwm9aZUtVGqdiv02aNiYUDdj7Qg1KSly97zQ0735yXrfzzKtP36/THHkkNFWK0yXNly4UDaZmf/xoIkv3I1Hg==" saltValue="XKMn3EAXagYQ/cbwUJj+6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E41"/>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8" t="s">
        <v>168</v>
      </c>
      <c r="C3" s="98"/>
      <c r="D3" s="98"/>
      <c r="E3" s="1"/>
    </row>
    <row r="4" spans="1:5" ht="15" customHeight="1" x14ac:dyDescent="0.25">
      <c r="A4" s="1"/>
      <c r="B4" s="98"/>
      <c r="C4" s="98"/>
      <c r="D4" s="98"/>
      <c r="E4" s="1"/>
    </row>
    <row r="5" spans="1:5" x14ac:dyDescent="0.25">
      <c r="A5" s="1"/>
      <c r="B5" s="99" t="s">
        <v>20</v>
      </c>
      <c r="C5" s="99"/>
      <c r="D5" s="99"/>
      <c r="E5" s="1"/>
    </row>
    <row r="6" spans="1:5" x14ac:dyDescent="0.25">
      <c r="A6" s="1"/>
      <c r="B6" s="1"/>
      <c r="C6" s="1"/>
      <c r="D6" s="1"/>
      <c r="E6" s="1"/>
    </row>
    <row r="7" spans="1:5" x14ac:dyDescent="0.25">
      <c r="A7" s="1"/>
      <c r="B7" s="63" t="s">
        <v>12</v>
      </c>
      <c r="C7" s="64"/>
      <c r="D7" s="19"/>
      <c r="E7" s="1"/>
    </row>
    <row r="8" spans="1:5" ht="15" customHeight="1" x14ac:dyDescent="0.25">
      <c r="A8" s="1"/>
      <c r="B8" s="71" t="s">
        <v>169</v>
      </c>
      <c r="C8" s="7">
        <f>'Fane 2.3. Økonomisk ramme 2025'!C13</f>
        <v>16384812.343901424</v>
      </c>
      <c r="D8" s="8" t="s">
        <v>3</v>
      </c>
      <c r="E8" s="1"/>
    </row>
    <row r="9" spans="1:5" ht="15" customHeight="1" x14ac:dyDescent="0.25">
      <c r="A9" s="1"/>
      <c r="B9" s="60" t="s">
        <v>17</v>
      </c>
      <c r="C9" s="9">
        <f>SUM(C8:C8)*'Fane 13. Nøgletal'!C15</f>
        <v>583299.3194428907</v>
      </c>
      <c r="D9" s="8" t="s">
        <v>3</v>
      </c>
      <c r="E9" s="1"/>
    </row>
    <row r="10" spans="1:5" ht="15" customHeight="1" x14ac:dyDescent="0.25">
      <c r="A10" s="1"/>
      <c r="B10" s="60" t="s">
        <v>9</v>
      </c>
      <c r="C10" s="9">
        <f>-SUM(C8:C9)*'Fane 5. Individuelt eff. krav'!G9</f>
        <v>0</v>
      </c>
      <c r="D10" s="8" t="s">
        <v>3</v>
      </c>
      <c r="E10" s="1"/>
    </row>
    <row r="11" spans="1:5" ht="15" customHeight="1" x14ac:dyDescent="0.25">
      <c r="A11" s="1"/>
      <c r="B11" s="60" t="s">
        <v>23</v>
      </c>
      <c r="C11" s="9">
        <f>-'Fane 4.1. Gen. krav - drift'!G58</f>
        <v>-133989.29653991439</v>
      </c>
      <c r="D11" s="8" t="s">
        <v>3</v>
      </c>
      <c r="E11" s="1"/>
    </row>
    <row r="12" spans="1:5" ht="15" customHeight="1" x14ac:dyDescent="0.25">
      <c r="A12" s="1"/>
      <c r="B12" s="60" t="s">
        <v>24</v>
      </c>
      <c r="C12" s="9">
        <f>-'Fane 4.2. Gen. krav - anlæg'!G58</f>
        <v>0</v>
      </c>
      <c r="D12" s="8" t="s">
        <v>3</v>
      </c>
      <c r="E12" s="1"/>
    </row>
    <row r="13" spans="1:5" x14ac:dyDescent="0.25">
      <c r="A13" s="1"/>
      <c r="B13" s="32" t="s">
        <v>19</v>
      </c>
      <c r="C13" s="10">
        <f>SUM(C8:C12)</f>
        <v>16834122.366804402</v>
      </c>
      <c r="D13" s="11" t="s">
        <v>3</v>
      </c>
      <c r="E13" s="1"/>
    </row>
    <row r="14" spans="1:5" x14ac:dyDescent="0.25">
      <c r="A14" s="1"/>
      <c r="B14" s="63" t="s">
        <v>11</v>
      </c>
      <c r="C14" s="64"/>
      <c r="D14" s="19"/>
      <c r="E14" s="1"/>
    </row>
    <row r="15" spans="1:5" ht="15" customHeight="1" x14ac:dyDescent="0.25">
      <c r="A15" s="1"/>
      <c r="B15" s="65" t="s">
        <v>11</v>
      </c>
      <c r="C15" s="10">
        <f>'Fane 6. Ikke-påvirkelige omk.'!C15*(1+'Fane 13. Nøgletal'!C15)^3</f>
        <v>14715219.72158041</v>
      </c>
      <c r="D15" s="11" t="s">
        <v>3</v>
      </c>
      <c r="E15" s="1"/>
    </row>
    <row r="16" spans="1:5" x14ac:dyDescent="0.25">
      <c r="A16" s="1"/>
      <c r="B16" s="63" t="s">
        <v>128</v>
      </c>
      <c r="C16" s="64"/>
      <c r="D16" s="19"/>
      <c r="E16" s="1"/>
    </row>
    <row r="17" spans="1:5" x14ac:dyDescent="0.25">
      <c r="A17" s="1"/>
      <c r="B17" s="65" t="s">
        <v>129</v>
      </c>
      <c r="C17" s="10">
        <v>0</v>
      </c>
      <c r="D17" s="11" t="s">
        <v>3</v>
      </c>
      <c r="E17" s="1"/>
    </row>
    <row r="18" spans="1:5" x14ac:dyDescent="0.25">
      <c r="A18" s="1"/>
      <c r="B18" s="25" t="s">
        <v>153</v>
      </c>
      <c r="C18" s="64"/>
      <c r="D18" s="19"/>
      <c r="E18" s="1"/>
    </row>
    <row r="19" spans="1:5" x14ac:dyDescent="0.25">
      <c r="A19" s="1"/>
      <c r="B19" s="76" t="s">
        <v>154</v>
      </c>
      <c r="C19" s="10">
        <f>'Fane 8. Skattesagen'!G15</f>
        <v>0</v>
      </c>
      <c r="D19" s="11" t="s">
        <v>3</v>
      </c>
      <c r="E19" s="1"/>
    </row>
    <row r="20" spans="1:5" x14ac:dyDescent="0.25">
      <c r="A20" s="1"/>
      <c r="B20" s="63" t="s">
        <v>170</v>
      </c>
      <c r="C20" s="12">
        <f>SUM(C13,C15,C17,C19)</f>
        <v>31549342.088384815</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sheetData>
  <sheetProtection algorithmName="SHA-512" hashValue="jFRDXtvpNBnxOxznPh54dOaltizUVIvuPEhJJbfHZrsWgvoCFDqxaa9EUVBx7iOIokdI4ujbX8VH7vcrJwxOgw==" saltValue="HTWcNllT/yUM316jv5x7D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G48"/>
  <sheetViews>
    <sheetView showGridLines="0" view="pageLayout" zoomScaleNormal="100" workbookViewId="0"/>
  </sheetViews>
  <sheetFormatPr defaultColWidth="9.140625" defaultRowHeight="15" x14ac:dyDescent="0.25"/>
  <cols>
    <col min="1" max="1" width="7.85546875" style="2" customWidth="1"/>
    <col min="2" max="2" width="51.7109375" style="2" customWidth="1"/>
    <col min="3" max="3" width="9.140625" style="2" hidden="1" customWidth="1"/>
    <col min="4" max="4" width="39.42578125" style="2" hidden="1" customWidth="1"/>
    <col min="5" max="5" width="11.140625" style="2" customWidth="1"/>
    <col min="6" max="6" width="4.5703125" style="2" customWidth="1"/>
    <col min="7" max="7" width="8.28515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0" t="s">
        <v>171</v>
      </c>
      <c r="C3" s="120"/>
      <c r="D3" s="120"/>
      <c r="E3" s="120"/>
      <c r="F3" s="120"/>
      <c r="G3" s="1"/>
    </row>
    <row r="4" spans="1:7" ht="29.25" customHeight="1" x14ac:dyDescent="0.25">
      <c r="A4" s="1"/>
      <c r="B4" s="120"/>
      <c r="C4" s="120"/>
      <c r="D4" s="120"/>
      <c r="E4" s="120"/>
      <c r="F4" s="12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3" t="s">
        <v>172</v>
      </c>
      <c r="C8" s="64"/>
      <c r="D8" s="64"/>
      <c r="E8" s="64"/>
      <c r="F8" s="19"/>
      <c r="G8" s="1"/>
    </row>
    <row r="9" spans="1:7" x14ac:dyDescent="0.25">
      <c r="A9" s="1"/>
      <c r="B9" s="121" t="s">
        <v>22</v>
      </c>
      <c r="C9" s="122"/>
      <c r="D9" s="123"/>
      <c r="E9" s="7">
        <v>14885787.337564703</v>
      </c>
      <c r="F9" s="8" t="s">
        <v>3</v>
      </c>
      <c r="G9" s="1"/>
    </row>
    <row r="10" spans="1:7" ht="15" customHeight="1" x14ac:dyDescent="0.25">
      <c r="A10" s="1"/>
      <c r="B10" s="103" t="s">
        <v>35</v>
      </c>
      <c r="C10" s="104"/>
      <c r="D10" s="105"/>
      <c r="E10" s="9">
        <v>227067.85930000001</v>
      </c>
      <c r="F10" s="8" t="s">
        <v>3</v>
      </c>
      <c r="G10" s="1"/>
    </row>
    <row r="11" spans="1:7" ht="15" customHeight="1" x14ac:dyDescent="0.25">
      <c r="A11" s="1"/>
      <c r="B11" s="103" t="s">
        <v>36</v>
      </c>
      <c r="C11" s="104"/>
      <c r="D11" s="105"/>
      <c r="E11" s="9">
        <v>203572.57990000001</v>
      </c>
      <c r="F11" s="8" t="s">
        <v>3</v>
      </c>
      <c r="G11" s="1"/>
    </row>
    <row r="12" spans="1:7" x14ac:dyDescent="0.25">
      <c r="A12" s="1"/>
      <c r="B12" s="103" t="s">
        <v>26</v>
      </c>
      <c r="C12" s="104"/>
      <c r="D12" s="105"/>
      <c r="E12" s="9">
        <v>0</v>
      </c>
      <c r="F12" s="8" t="s">
        <v>3</v>
      </c>
      <c r="G12" s="1"/>
    </row>
    <row r="13" spans="1:7" x14ac:dyDescent="0.25">
      <c r="A13" s="1"/>
      <c r="B13" s="103" t="s">
        <v>25</v>
      </c>
      <c r="C13" s="104"/>
      <c r="D13" s="105"/>
      <c r="E13" s="9">
        <v>0</v>
      </c>
      <c r="F13" s="8" t="s">
        <v>3</v>
      </c>
      <c r="G13" s="1"/>
    </row>
    <row r="14" spans="1:7" x14ac:dyDescent="0.25">
      <c r="A14" s="1"/>
      <c r="B14" s="103" t="s">
        <v>114</v>
      </c>
      <c r="C14" s="104"/>
      <c r="D14" s="105"/>
      <c r="E14" s="9">
        <v>0</v>
      </c>
      <c r="F14" s="8" t="s">
        <v>3</v>
      </c>
      <c r="G14" s="1"/>
    </row>
    <row r="15" spans="1:7" x14ac:dyDescent="0.25">
      <c r="A15" s="1"/>
      <c r="B15" s="103" t="s">
        <v>115</v>
      </c>
      <c r="C15" s="104"/>
      <c r="D15" s="105"/>
      <c r="E15" s="9">
        <v>0</v>
      </c>
      <c r="F15" s="8" t="s">
        <v>3</v>
      </c>
      <c r="G15" s="1"/>
    </row>
    <row r="16" spans="1:7" x14ac:dyDescent="0.25">
      <c r="A16" s="1"/>
      <c r="B16" s="103" t="s">
        <v>17</v>
      </c>
      <c r="C16" s="104"/>
      <c r="D16" s="105"/>
      <c r="E16" s="9">
        <v>183027.71896764939</v>
      </c>
      <c r="F16" s="8" t="s">
        <v>3</v>
      </c>
      <c r="G16" s="30"/>
    </row>
    <row r="17" spans="1:7" x14ac:dyDescent="0.25">
      <c r="A17" s="1"/>
      <c r="B17" s="103" t="s">
        <v>9</v>
      </c>
      <c r="C17" s="104"/>
      <c r="D17" s="105"/>
      <c r="E17" s="9">
        <v>0</v>
      </c>
      <c r="F17" s="8" t="s">
        <v>3</v>
      </c>
      <c r="G17" s="1"/>
    </row>
    <row r="18" spans="1:7" x14ac:dyDescent="0.25">
      <c r="A18" s="1"/>
      <c r="B18" s="103" t="s">
        <v>23</v>
      </c>
      <c r="C18" s="104"/>
      <c r="D18" s="105"/>
      <c r="E18" s="9">
        <v>-126298.33847449411</v>
      </c>
      <c r="F18" s="8" t="s">
        <v>3</v>
      </c>
      <c r="G18" s="1"/>
    </row>
    <row r="19" spans="1:7" x14ac:dyDescent="0.25">
      <c r="A19" s="1"/>
      <c r="B19" s="103" t="s">
        <v>24</v>
      </c>
      <c r="C19" s="104"/>
      <c r="D19" s="105"/>
      <c r="E19" s="9">
        <v>-256726.27976960939</v>
      </c>
      <c r="F19" s="8" t="s">
        <v>3</v>
      </c>
      <c r="G19" s="1"/>
    </row>
    <row r="20" spans="1:7" x14ac:dyDescent="0.25">
      <c r="A20" s="1"/>
      <c r="B20" s="106" t="s">
        <v>19</v>
      </c>
      <c r="C20" s="107"/>
      <c r="D20" s="108"/>
      <c r="E20" s="31">
        <f>SUM(E9:E19)</f>
        <v>15116430.877488252</v>
      </c>
      <c r="F20" s="33" t="s">
        <v>3</v>
      </c>
      <c r="G20" s="1"/>
    </row>
    <row r="21" spans="1:7" x14ac:dyDescent="0.25">
      <c r="A21" s="1"/>
      <c r="B21" s="63" t="s">
        <v>11</v>
      </c>
      <c r="C21" s="64"/>
      <c r="D21" s="64"/>
      <c r="E21" s="64"/>
      <c r="F21" s="19"/>
      <c r="G21" s="1"/>
    </row>
    <row r="22" spans="1:7" x14ac:dyDescent="0.25">
      <c r="A22" s="1"/>
      <c r="B22" s="114" t="s">
        <v>11</v>
      </c>
      <c r="C22" s="115"/>
      <c r="D22" s="116"/>
      <c r="E22" s="10">
        <v>11493520.386622932</v>
      </c>
      <c r="F22" s="11" t="s">
        <v>3</v>
      </c>
      <c r="G22" s="1"/>
    </row>
    <row r="23" spans="1:7" ht="15" customHeight="1" x14ac:dyDescent="0.25">
      <c r="A23" s="1"/>
      <c r="B23" s="112" t="s">
        <v>80</v>
      </c>
      <c r="C23" s="113"/>
      <c r="D23" s="113"/>
      <c r="E23" s="64"/>
      <c r="F23" s="64"/>
      <c r="G23" s="1"/>
    </row>
    <row r="24" spans="1:7" ht="14.25" customHeight="1" x14ac:dyDescent="0.25">
      <c r="A24" s="1"/>
      <c r="B24" s="100" t="s">
        <v>76</v>
      </c>
      <c r="C24" s="101"/>
      <c r="D24" s="102"/>
      <c r="E24" s="9">
        <v>0</v>
      </c>
      <c r="F24" s="8" t="s">
        <v>3</v>
      </c>
      <c r="G24" s="1"/>
    </row>
    <row r="25" spans="1:7" ht="14.25" customHeight="1" x14ac:dyDescent="0.25">
      <c r="A25" s="1"/>
      <c r="B25" s="100" t="s">
        <v>77</v>
      </c>
      <c r="C25" s="101"/>
      <c r="D25" s="102"/>
      <c r="E25" s="9">
        <v>0</v>
      </c>
      <c r="F25" s="8" t="s">
        <v>3</v>
      </c>
      <c r="G25" s="1"/>
    </row>
    <row r="26" spans="1:7" x14ac:dyDescent="0.25">
      <c r="A26" s="1"/>
      <c r="B26" s="109" t="s">
        <v>81</v>
      </c>
      <c r="C26" s="110"/>
      <c r="D26" s="110"/>
      <c r="E26" s="10">
        <v>0</v>
      </c>
      <c r="F26" s="11" t="s">
        <v>3</v>
      </c>
      <c r="G26" s="1"/>
    </row>
    <row r="27" spans="1:7" x14ac:dyDescent="0.25">
      <c r="A27" s="1"/>
      <c r="B27" s="63" t="s">
        <v>128</v>
      </c>
      <c r="C27" s="64"/>
      <c r="D27" s="64"/>
      <c r="E27" s="64"/>
      <c r="F27" s="19"/>
      <c r="G27" s="1"/>
    </row>
    <row r="28" spans="1:7" ht="15" customHeight="1" x14ac:dyDescent="0.25">
      <c r="A28" s="1"/>
      <c r="B28" s="109" t="s">
        <v>129</v>
      </c>
      <c r="C28" s="110"/>
      <c r="D28" s="111"/>
      <c r="E28" s="10">
        <v>0</v>
      </c>
      <c r="F28" s="11" t="s">
        <v>3</v>
      </c>
      <c r="G28" s="1"/>
    </row>
    <row r="29" spans="1:7" x14ac:dyDescent="0.25">
      <c r="A29" s="1"/>
      <c r="B29" s="63" t="s">
        <v>159</v>
      </c>
      <c r="C29" s="64"/>
      <c r="D29" s="64"/>
      <c r="E29" s="64"/>
      <c r="F29" s="19"/>
      <c r="G29" s="1"/>
    </row>
    <row r="30" spans="1:7" ht="15.6" customHeight="1" x14ac:dyDescent="0.25">
      <c r="A30" s="1"/>
      <c r="B30" s="114" t="s">
        <v>160</v>
      </c>
      <c r="C30" s="115"/>
      <c r="D30" s="116"/>
      <c r="E30" s="10">
        <v>0</v>
      </c>
      <c r="F30" s="11" t="s">
        <v>3</v>
      </c>
      <c r="G30" s="1"/>
    </row>
    <row r="31" spans="1:7" ht="15.6" customHeight="1" x14ac:dyDescent="0.25">
      <c r="A31" s="1"/>
      <c r="B31" s="117" t="s">
        <v>153</v>
      </c>
      <c r="C31" s="118"/>
      <c r="D31" s="118"/>
      <c r="E31" s="118"/>
      <c r="F31" s="119"/>
      <c r="G31" s="1"/>
    </row>
    <row r="32" spans="1:7" ht="15.6" customHeight="1" x14ac:dyDescent="0.25">
      <c r="A32" s="1"/>
      <c r="B32" s="76" t="s">
        <v>154</v>
      </c>
      <c r="C32" s="10"/>
      <c r="D32" s="11"/>
      <c r="E32" s="10">
        <f>'Fane 8. Skattesagen'!G11</f>
        <v>0</v>
      </c>
      <c r="F32" s="11" t="s">
        <v>3</v>
      </c>
      <c r="G32" s="1"/>
    </row>
    <row r="33" spans="1:7" x14ac:dyDescent="0.25">
      <c r="A33" s="1"/>
      <c r="B33" s="78" t="s">
        <v>27</v>
      </c>
      <c r="C33" s="79"/>
      <c r="D33" s="79"/>
      <c r="E33" s="12">
        <f>E20+E22+E26+E28+E30+E32</f>
        <v>26609951.264111184</v>
      </c>
      <c r="F33" s="13" t="s">
        <v>3</v>
      </c>
      <c r="G33" s="1"/>
    </row>
    <row r="34" spans="1:7" ht="27.75" customHeight="1" x14ac:dyDescent="0.25">
      <c r="A34" s="1"/>
      <c r="B34" s="100" t="s">
        <v>173</v>
      </c>
      <c r="C34" s="101"/>
      <c r="D34" s="101"/>
      <c r="E34" s="101"/>
      <c r="F34" s="102"/>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sheetData>
  <sheetProtection algorithmName="SHA-512" hashValue="aRen3FI/rEumlq3fu4icyudazvKacC9kZn2YVd1wPRUe1JWex4TWz6OyFmtMJGkyGew8B7/BAVZuKFG8oCmDiQ==" saltValue="4crCxL0Hz9+ooMI8QD+F5w==" spinCount="100000" sheet="1" objects="1" scenarios="1"/>
  <mergeCells count="22">
    <mergeCell ref="B13:D13"/>
    <mergeCell ref="B14:D14"/>
    <mergeCell ref="B15:D15"/>
    <mergeCell ref="B22:D22"/>
    <mergeCell ref="B3:F4"/>
    <mergeCell ref="B9:D9"/>
    <mergeCell ref="B10:D10"/>
    <mergeCell ref="B11:D11"/>
    <mergeCell ref="B12:D12"/>
    <mergeCell ref="B34:F34"/>
    <mergeCell ref="B16:D16"/>
    <mergeCell ref="B17:D17"/>
    <mergeCell ref="B18:D18"/>
    <mergeCell ref="B19:D19"/>
    <mergeCell ref="B20:D20"/>
    <mergeCell ref="B28:D28"/>
    <mergeCell ref="B23:D23"/>
    <mergeCell ref="B24:D24"/>
    <mergeCell ref="B25:D25"/>
    <mergeCell ref="B26:D26"/>
    <mergeCell ref="B30:D30"/>
    <mergeCell ref="B31:F31"/>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I65"/>
  <sheetViews>
    <sheetView showGridLines="0" view="pageLayout" zoomScaleNormal="100" workbookViewId="0"/>
  </sheetViews>
  <sheetFormatPr defaultColWidth="9.140625" defaultRowHeight="15" x14ac:dyDescent="0.25"/>
  <cols>
    <col min="1" max="1" width="6.140625" style="2" customWidth="1"/>
    <col min="2" max="5" width="9.140625" style="2"/>
    <col min="6" max="6" width="18.85546875" style="2" customWidth="1"/>
    <col min="7" max="7" width="13.42578125" style="39" customWidth="1"/>
    <col min="8" max="8" width="3.7109375" style="2" customWidth="1"/>
    <col min="9" max="9" width="6.7109375" style="2" customWidth="1"/>
    <col min="10" max="16384" width="9.140625" style="2"/>
  </cols>
  <sheetData>
    <row r="1" spans="1:9" ht="15" customHeight="1" x14ac:dyDescent="0.25">
      <c r="A1" s="1"/>
      <c r="B1" s="120" t="s">
        <v>98</v>
      </c>
      <c r="C1" s="120"/>
      <c r="D1" s="120"/>
      <c r="E1" s="120"/>
      <c r="F1" s="120"/>
      <c r="G1" s="120"/>
      <c r="H1" s="120"/>
      <c r="I1" s="1"/>
    </row>
    <row r="2" spans="1:9" ht="15" customHeight="1" x14ac:dyDescent="0.25">
      <c r="A2" s="1"/>
      <c r="B2" s="120"/>
      <c r="C2" s="120"/>
      <c r="D2" s="120"/>
      <c r="E2" s="120"/>
      <c r="F2" s="120"/>
      <c r="G2" s="120"/>
      <c r="H2" s="120"/>
      <c r="I2" s="1"/>
    </row>
    <row r="3" spans="1:9" ht="15" customHeight="1" x14ac:dyDescent="0.25">
      <c r="A3" s="1"/>
      <c r="B3" s="120"/>
      <c r="C3" s="120"/>
      <c r="D3" s="120"/>
      <c r="E3" s="120"/>
      <c r="F3" s="120"/>
      <c r="G3" s="120"/>
      <c r="H3" s="120"/>
      <c r="I3" s="1"/>
    </row>
    <row r="4" spans="1:9" x14ac:dyDescent="0.25">
      <c r="A4" s="1"/>
      <c r="B4" s="117" t="s">
        <v>49</v>
      </c>
      <c r="C4" s="118"/>
      <c r="D4" s="118"/>
      <c r="E4" s="118"/>
      <c r="F4" s="118"/>
      <c r="G4" s="118"/>
      <c r="H4" s="119"/>
      <c r="I4" s="1"/>
    </row>
    <row r="5" spans="1:9" x14ac:dyDescent="0.25">
      <c r="A5" s="1"/>
      <c r="B5" s="124" t="s">
        <v>38</v>
      </c>
      <c r="C5" s="125"/>
      <c r="D5" s="125"/>
      <c r="E5" s="125"/>
      <c r="F5" s="126"/>
      <c r="G5" s="54">
        <v>6276392</v>
      </c>
      <c r="H5" s="14" t="s">
        <v>3</v>
      </c>
      <c r="I5" s="1"/>
    </row>
    <row r="6" spans="1:9" x14ac:dyDescent="0.25">
      <c r="A6" s="1"/>
      <c r="B6" s="124" t="s">
        <v>39</v>
      </c>
      <c r="C6" s="125"/>
      <c r="D6" s="125"/>
      <c r="E6" s="125"/>
      <c r="F6" s="126"/>
      <c r="G6" s="54">
        <f>G5*'Fane 13. Nøgletal'!C31</f>
        <v>125527.84</v>
      </c>
      <c r="H6" s="14" t="s">
        <v>3</v>
      </c>
      <c r="I6" s="1"/>
    </row>
    <row r="7" spans="1:9" x14ac:dyDescent="0.25">
      <c r="A7" s="1"/>
      <c r="B7" s="63"/>
      <c r="C7" s="64"/>
      <c r="D7" s="64"/>
      <c r="E7" s="64"/>
      <c r="F7" s="64"/>
      <c r="G7" s="55"/>
      <c r="H7" s="19"/>
      <c r="I7" s="1"/>
    </row>
    <row r="8" spans="1:9" x14ac:dyDescent="0.25">
      <c r="A8" s="1"/>
      <c r="B8" s="1"/>
      <c r="C8" s="1"/>
      <c r="D8" s="1"/>
      <c r="E8" s="1"/>
      <c r="F8" s="1"/>
      <c r="G8" s="56"/>
      <c r="H8" s="1"/>
      <c r="I8" s="1"/>
    </row>
    <row r="9" spans="1:9" x14ac:dyDescent="0.25">
      <c r="A9" s="1"/>
      <c r="B9" s="117" t="s">
        <v>50</v>
      </c>
      <c r="C9" s="118"/>
      <c r="D9" s="118"/>
      <c r="E9" s="118"/>
      <c r="F9" s="118"/>
      <c r="G9" s="130"/>
      <c r="H9" s="119"/>
      <c r="I9" s="1"/>
    </row>
    <row r="10" spans="1:9" x14ac:dyDescent="0.25">
      <c r="A10" s="1"/>
      <c r="B10" s="124" t="s">
        <v>40</v>
      </c>
      <c r="C10" s="125"/>
      <c r="D10" s="125"/>
      <c r="E10" s="125"/>
      <c r="F10" s="126"/>
      <c r="G10" s="54">
        <f>(G5-G6)*(1+'Fane 13. Nøgletal'!C9)</f>
        <v>6228980.1348319994</v>
      </c>
      <c r="H10" s="14" t="s">
        <v>3</v>
      </c>
      <c r="I10" s="1"/>
    </row>
    <row r="11" spans="1:9" x14ac:dyDescent="0.25">
      <c r="A11" s="1"/>
      <c r="B11" s="127" t="s">
        <v>41</v>
      </c>
      <c r="C11" s="128"/>
      <c r="D11" s="128"/>
      <c r="E11" s="128"/>
      <c r="F11" s="129"/>
      <c r="G11" s="54">
        <v>0</v>
      </c>
      <c r="H11" s="14" t="s">
        <v>3</v>
      </c>
      <c r="I11" s="1"/>
    </row>
    <row r="12" spans="1:9" x14ac:dyDescent="0.25">
      <c r="A12" s="1"/>
      <c r="B12" s="124" t="s">
        <v>42</v>
      </c>
      <c r="C12" s="125"/>
      <c r="D12" s="125"/>
      <c r="E12" s="125"/>
      <c r="F12" s="126"/>
      <c r="G12" s="54">
        <f>(G10+G11)*'Fane 13. Nøgletal'!C31</f>
        <v>124579.60269663999</v>
      </c>
      <c r="H12" s="14" t="s">
        <v>3</v>
      </c>
      <c r="I12" s="1"/>
    </row>
    <row r="13" spans="1:9" x14ac:dyDescent="0.25">
      <c r="A13" s="1"/>
      <c r="B13" s="63"/>
      <c r="C13" s="64"/>
      <c r="D13" s="64"/>
      <c r="E13" s="64"/>
      <c r="F13" s="64"/>
      <c r="G13" s="55"/>
      <c r="H13" s="19"/>
      <c r="I13" s="1"/>
    </row>
    <row r="14" spans="1:9" x14ac:dyDescent="0.25">
      <c r="A14" s="1"/>
      <c r="B14" s="1"/>
      <c r="C14" s="1"/>
      <c r="D14" s="1"/>
      <c r="E14" s="1"/>
      <c r="F14" s="1"/>
      <c r="G14" s="56"/>
      <c r="H14" s="1"/>
      <c r="I14" s="1"/>
    </row>
    <row r="15" spans="1:9" x14ac:dyDescent="0.25">
      <c r="A15" s="1"/>
      <c r="B15" s="117" t="s">
        <v>51</v>
      </c>
      <c r="C15" s="118"/>
      <c r="D15" s="118"/>
      <c r="E15" s="118"/>
      <c r="F15" s="118"/>
      <c r="G15" s="130"/>
      <c r="H15" s="119"/>
      <c r="I15" s="1"/>
    </row>
    <row r="16" spans="1:9" x14ac:dyDescent="0.25">
      <c r="A16" s="1"/>
      <c r="B16" s="124" t="s">
        <v>43</v>
      </c>
      <c r="C16" s="125"/>
      <c r="D16" s="125"/>
      <c r="E16" s="125"/>
      <c r="F16" s="126"/>
      <c r="G16" s="54">
        <f>(G10+G11-G12)*(1+'Fane 13. Nøgletal'!C11)</f>
        <v>6207564.9011284458</v>
      </c>
      <c r="H16" s="14" t="s">
        <v>3</v>
      </c>
      <c r="I16" s="1"/>
    </row>
    <row r="17" spans="1:9" x14ac:dyDescent="0.25">
      <c r="A17" s="1"/>
      <c r="B17" s="124" t="s">
        <v>108</v>
      </c>
      <c r="C17" s="125"/>
      <c r="D17" s="125"/>
      <c r="E17" s="125"/>
      <c r="F17" s="126"/>
      <c r="G17" s="54">
        <v>0.12488344300147113</v>
      </c>
      <c r="H17" s="14" t="s">
        <v>3</v>
      </c>
      <c r="I17" s="1"/>
    </row>
    <row r="18" spans="1:9" x14ac:dyDescent="0.25">
      <c r="A18" s="1"/>
      <c r="B18" s="127" t="s">
        <v>44</v>
      </c>
      <c r="C18" s="128"/>
      <c r="D18" s="128"/>
      <c r="E18" s="128"/>
      <c r="F18" s="129"/>
      <c r="G18" s="54">
        <v>0</v>
      </c>
      <c r="H18" s="14" t="s">
        <v>3</v>
      </c>
      <c r="I18" s="1"/>
    </row>
    <row r="19" spans="1:9" x14ac:dyDescent="0.25">
      <c r="A19" s="1"/>
      <c r="B19" s="124" t="s">
        <v>45</v>
      </c>
      <c r="C19" s="125"/>
      <c r="D19" s="125"/>
      <c r="E19" s="125"/>
      <c r="F19" s="126"/>
      <c r="G19" s="54">
        <f>SUM(G16:G18)*'Fane 13. Nøgletal'!C31</f>
        <v>124151.30052023778</v>
      </c>
      <c r="H19" s="14" t="s">
        <v>3</v>
      </c>
      <c r="I19" s="1"/>
    </row>
    <row r="20" spans="1:9" x14ac:dyDescent="0.25">
      <c r="A20" s="1"/>
      <c r="B20" s="63"/>
      <c r="C20" s="64"/>
      <c r="D20" s="64"/>
      <c r="E20" s="64"/>
      <c r="F20" s="64"/>
      <c r="G20" s="55"/>
      <c r="H20" s="19"/>
      <c r="I20" s="1"/>
    </row>
    <row r="21" spans="1:9" x14ac:dyDescent="0.25">
      <c r="A21" s="1"/>
      <c r="B21" s="1"/>
      <c r="C21" s="1"/>
      <c r="D21" s="1"/>
      <c r="E21" s="1"/>
      <c r="F21" s="1"/>
      <c r="G21" s="56"/>
      <c r="H21" s="1"/>
      <c r="I21" s="1"/>
    </row>
    <row r="22" spans="1:9" x14ac:dyDescent="0.25">
      <c r="A22" s="1"/>
      <c r="B22" s="117" t="s">
        <v>52</v>
      </c>
      <c r="C22" s="118"/>
      <c r="D22" s="118"/>
      <c r="E22" s="118"/>
      <c r="F22" s="118"/>
      <c r="G22" s="130"/>
      <c r="H22" s="119"/>
      <c r="I22" s="1"/>
    </row>
    <row r="23" spans="1:9" x14ac:dyDescent="0.25">
      <c r="A23" s="1"/>
      <c r="B23" s="124" t="s">
        <v>46</v>
      </c>
      <c r="C23" s="125"/>
      <c r="D23" s="125"/>
      <c r="E23" s="125"/>
      <c r="F23" s="126"/>
      <c r="G23" s="54">
        <f>(SUM(G16:G18)-G19)*(1+'Fane 13. Nøgletal'!C11)</f>
        <v>6186223.4174524602</v>
      </c>
      <c r="H23" s="14" t="s">
        <v>3</v>
      </c>
      <c r="I23" s="1"/>
    </row>
    <row r="24" spans="1:9" x14ac:dyDescent="0.25">
      <c r="A24" s="1"/>
      <c r="B24" s="127" t="s">
        <v>47</v>
      </c>
      <c r="C24" s="128"/>
      <c r="D24" s="128"/>
      <c r="E24" s="128"/>
      <c r="F24" s="129"/>
      <c r="G24" s="54">
        <v>0</v>
      </c>
      <c r="H24" s="14" t="s">
        <v>3</v>
      </c>
      <c r="I24" s="1"/>
    </row>
    <row r="25" spans="1:9" x14ac:dyDescent="0.25">
      <c r="A25" s="1"/>
      <c r="B25" s="124" t="s">
        <v>48</v>
      </c>
      <c r="C25" s="125"/>
      <c r="D25" s="125"/>
      <c r="E25" s="125"/>
      <c r="F25" s="126"/>
      <c r="G25" s="54">
        <f>(G23+G24)*'Fane 13. Nøgletal'!C31</f>
        <v>123724.4683490492</v>
      </c>
      <c r="H25" s="14" t="s">
        <v>3</v>
      </c>
      <c r="I25" s="1"/>
    </row>
    <row r="26" spans="1:9" x14ac:dyDescent="0.25">
      <c r="A26" s="1"/>
      <c r="B26" s="63"/>
      <c r="C26" s="64"/>
      <c r="D26" s="64"/>
      <c r="E26" s="64"/>
      <c r="F26" s="64"/>
      <c r="G26" s="55"/>
      <c r="H26" s="19"/>
      <c r="I26" s="1"/>
    </row>
    <row r="27" spans="1:9" x14ac:dyDescent="0.25">
      <c r="A27" s="1"/>
      <c r="B27" s="1"/>
      <c r="C27" s="1"/>
      <c r="D27" s="1"/>
      <c r="E27" s="1"/>
      <c r="F27" s="1"/>
      <c r="G27" s="56"/>
      <c r="H27" s="1"/>
      <c r="I27" s="1"/>
    </row>
    <row r="28" spans="1:9" x14ac:dyDescent="0.25">
      <c r="A28" s="1"/>
      <c r="B28" s="117" t="s">
        <v>132</v>
      </c>
      <c r="C28" s="118"/>
      <c r="D28" s="118"/>
      <c r="E28" s="118"/>
      <c r="F28" s="118"/>
      <c r="G28" s="130"/>
      <c r="H28" s="119"/>
      <c r="I28" s="1"/>
    </row>
    <row r="29" spans="1:9" x14ac:dyDescent="0.25">
      <c r="A29" s="1"/>
      <c r="B29" s="124" t="s">
        <v>55</v>
      </c>
      <c r="C29" s="125"/>
      <c r="D29" s="125"/>
      <c r="E29" s="125"/>
      <c r="F29" s="126"/>
      <c r="G29" s="54">
        <f>(G23+G24-G25)*(1+'Fane 13. Nøgletal'!C13)</f>
        <v>6136461.4362824727</v>
      </c>
      <c r="H29" s="14" t="s">
        <v>3</v>
      </c>
      <c r="I29" s="1"/>
    </row>
    <row r="30" spans="1:9" x14ac:dyDescent="0.25">
      <c r="A30" s="1"/>
      <c r="B30" s="124" t="s">
        <v>121</v>
      </c>
      <c r="C30" s="125"/>
      <c r="D30" s="125"/>
      <c r="E30" s="125"/>
      <c r="F30" s="126"/>
      <c r="G30" s="54">
        <v>0</v>
      </c>
      <c r="H30" s="14" t="s">
        <v>3</v>
      </c>
      <c r="I30" s="1"/>
    </row>
    <row r="31" spans="1:9" x14ac:dyDescent="0.25">
      <c r="A31" s="1"/>
      <c r="B31" s="124" t="s">
        <v>126</v>
      </c>
      <c r="C31" s="125"/>
      <c r="D31" s="125"/>
      <c r="E31" s="125"/>
      <c r="F31" s="126"/>
      <c r="G31" s="54">
        <f>(G29+G30)*'Fane 13. Nøgletal'!C31</f>
        <v>122729.22872564946</v>
      </c>
      <c r="H31" s="14" t="s">
        <v>3</v>
      </c>
      <c r="I31" s="1"/>
    </row>
    <row r="32" spans="1:9" x14ac:dyDescent="0.25">
      <c r="A32" s="1"/>
      <c r="B32" s="63"/>
      <c r="C32" s="64"/>
      <c r="D32" s="64"/>
      <c r="E32" s="64"/>
      <c r="F32" s="64"/>
      <c r="G32" s="55"/>
      <c r="H32" s="19"/>
      <c r="I32" s="1"/>
    </row>
    <row r="33" spans="1:9" x14ac:dyDescent="0.25">
      <c r="A33" s="1"/>
      <c r="B33" s="1"/>
      <c r="C33" s="1"/>
      <c r="D33" s="1"/>
      <c r="E33" s="1"/>
      <c r="F33" s="1"/>
      <c r="G33" s="56"/>
      <c r="H33" s="1"/>
      <c r="I33" s="1"/>
    </row>
    <row r="34" spans="1:9" x14ac:dyDescent="0.25">
      <c r="A34" s="1"/>
      <c r="B34" s="117" t="s">
        <v>133</v>
      </c>
      <c r="C34" s="118"/>
      <c r="D34" s="118"/>
      <c r="E34" s="118"/>
      <c r="F34" s="118"/>
      <c r="G34" s="130"/>
      <c r="H34" s="119"/>
      <c r="I34" s="1"/>
    </row>
    <row r="35" spans="1:9" x14ac:dyDescent="0.25">
      <c r="A35" s="1"/>
      <c r="B35" s="124" t="s">
        <v>74</v>
      </c>
      <c r="C35" s="125"/>
      <c r="D35" s="125"/>
      <c r="E35" s="125"/>
      <c r="F35" s="126"/>
      <c r="G35" s="54">
        <f>(G29+G30-G31)*(1+'Fane 13. Nøgletal'!C13)</f>
        <v>6087099.7404890163</v>
      </c>
      <c r="H35" s="14" t="s">
        <v>3</v>
      </c>
      <c r="I35" s="1"/>
    </row>
    <row r="36" spans="1:9" x14ac:dyDescent="0.25">
      <c r="A36" s="1"/>
      <c r="B36" s="124" t="s">
        <v>152</v>
      </c>
      <c r="C36" s="125"/>
      <c r="D36" s="125"/>
      <c r="E36" s="125"/>
      <c r="F36" s="126"/>
      <c r="G36" s="54">
        <f>('Fane 3. Omkostninger i ØR2022'!E10+'Fane 3. Omkostninger i ØR2022'!E12+'Fane 3. Omkostninger i ØR2022'!E14)*(1+'Fane 13. Nøgletal'!C14)</f>
        <v>227817.18323569003</v>
      </c>
      <c r="H36" s="14" t="s">
        <v>3</v>
      </c>
      <c r="I36" s="1"/>
    </row>
    <row r="37" spans="1:9" x14ac:dyDescent="0.25">
      <c r="A37" s="1"/>
      <c r="B37" s="124" t="s">
        <v>134</v>
      </c>
      <c r="C37" s="125"/>
      <c r="D37" s="125"/>
      <c r="E37" s="125"/>
      <c r="F37" s="126"/>
      <c r="G37" s="54">
        <f>(G35+G36)*'Fane 13. Nøgletal'!C31</f>
        <v>126298.33847449413</v>
      </c>
      <c r="H37" s="14" t="s">
        <v>3</v>
      </c>
      <c r="I37" s="1"/>
    </row>
    <row r="38" spans="1:9" x14ac:dyDescent="0.25">
      <c r="A38" s="1"/>
      <c r="B38" s="63"/>
      <c r="C38" s="64"/>
      <c r="D38" s="64"/>
      <c r="E38" s="64"/>
      <c r="F38" s="64"/>
      <c r="G38" s="55"/>
      <c r="H38" s="19"/>
      <c r="I38" s="1"/>
    </row>
    <row r="39" spans="1:9" x14ac:dyDescent="0.25">
      <c r="A39" s="1"/>
      <c r="B39" s="1"/>
      <c r="C39" s="1"/>
      <c r="D39" s="1"/>
      <c r="E39" s="1"/>
      <c r="F39" s="1"/>
      <c r="G39" s="56"/>
      <c r="H39" s="1"/>
      <c r="I39" s="1"/>
    </row>
    <row r="40" spans="1:9" x14ac:dyDescent="0.25">
      <c r="A40" s="1"/>
      <c r="B40" s="117" t="s">
        <v>198</v>
      </c>
      <c r="C40" s="118"/>
      <c r="D40" s="118"/>
      <c r="E40" s="118"/>
      <c r="F40" s="118"/>
      <c r="G40" s="130"/>
      <c r="H40" s="119"/>
      <c r="I40" s="1"/>
    </row>
    <row r="41" spans="1:9" x14ac:dyDescent="0.25">
      <c r="A41" s="1"/>
      <c r="B41" s="124" t="s">
        <v>73</v>
      </c>
      <c r="C41" s="125"/>
      <c r="D41" s="125"/>
      <c r="E41" s="125"/>
      <c r="F41" s="126"/>
      <c r="G41" s="54">
        <f>(G35+G36-G37)*(1+'Fane 13. Nøgletal'!C15)</f>
        <v>6408933.4068851201</v>
      </c>
      <c r="H41" s="14" t="s">
        <v>3</v>
      </c>
      <c r="I41" s="1"/>
    </row>
    <row r="42" spans="1:9" x14ac:dyDescent="0.25">
      <c r="A42" s="1"/>
      <c r="B42" s="124" t="s">
        <v>197</v>
      </c>
      <c r="C42" s="125"/>
      <c r="D42" s="125"/>
      <c r="E42" s="125"/>
      <c r="F42" s="126"/>
      <c r="G42" s="54">
        <f>('Fane 2.1. Økonomisk ramme 2023'!C9+'Fane 2.1. Økonomisk ramme 2023'!C11+'Fane 2.1. Økonomisk ramme 2023'!C13)*(1+'Fane 13. Nøgletal'!C15)</f>
        <v>0</v>
      </c>
      <c r="H42" s="14" t="s">
        <v>3</v>
      </c>
      <c r="I42" s="1"/>
    </row>
    <row r="43" spans="1:9" x14ac:dyDescent="0.25">
      <c r="A43" s="1"/>
      <c r="B43" s="124" t="s">
        <v>208</v>
      </c>
      <c r="C43" s="125"/>
      <c r="D43" s="125"/>
      <c r="E43" s="125"/>
      <c r="F43" s="126"/>
      <c r="G43" s="54">
        <f>(G41+G42)*'Fane 13. Nøgletal'!C31</f>
        <v>128178.66813770241</v>
      </c>
      <c r="H43" s="14" t="s">
        <v>3</v>
      </c>
      <c r="I43" s="1"/>
    </row>
    <row r="44" spans="1:9" x14ac:dyDescent="0.25">
      <c r="A44" s="1"/>
      <c r="B44" s="63"/>
      <c r="C44" s="64"/>
      <c r="D44" s="64"/>
      <c r="E44" s="64"/>
      <c r="F44" s="64"/>
      <c r="G44" s="55"/>
      <c r="H44" s="19"/>
      <c r="I44" s="1"/>
    </row>
    <row r="45" spans="1:9" x14ac:dyDescent="0.25">
      <c r="A45" s="1"/>
      <c r="B45" s="1"/>
      <c r="C45" s="1"/>
      <c r="D45" s="1"/>
      <c r="E45" s="1"/>
      <c r="F45" s="1"/>
      <c r="G45" s="56"/>
      <c r="H45" s="1"/>
      <c r="I45" s="1"/>
    </row>
    <row r="46" spans="1:9" x14ac:dyDescent="0.25">
      <c r="A46" s="1"/>
      <c r="B46" s="117" t="s">
        <v>199</v>
      </c>
      <c r="C46" s="118"/>
      <c r="D46" s="118"/>
      <c r="E46" s="118"/>
      <c r="F46" s="118"/>
      <c r="G46" s="130"/>
      <c r="H46" s="119"/>
      <c r="I46" s="1"/>
    </row>
    <row r="47" spans="1:9" x14ac:dyDescent="0.25">
      <c r="A47" s="1"/>
      <c r="B47" s="124" t="s">
        <v>122</v>
      </c>
      <c r="C47" s="125"/>
      <c r="D47" s="125"/>
      <c r="E47" s="125"/>
      <c r="F47" s="126"/>
      <c r="G47" s="54">
        <f>(G41+G42-G43)*(1+'Fane 13. Nøgletal'!C15)</f>
        <v>6504349.6074468261</v>
      </c>
      <c r="H47" s="14" t="s">
        <v>3</v>
      </c>
      <c r="I47" s="1"/>
    </row>
    <row r="48" spans="1:9" x14ac:dyDescent="0.25">
      <c r="A48" s="1"/>
      <c r="B48" s="124" t="s">
        <v>209</v>
      </c>
      <c r="C48" s="125"/>
      <c r="D48" s="125"/>
      <c r="E48" s="125"/>
      <c r="F48" s="126"/>
      <c r="G48" s="54">
        <f>(G47)*'Fane 13. Nøgletal'!C31</f>
        <v>130086.99214893652</v>
      </c>
      <c r="H48" s="14" t="s">
        <v>3</v>
      </c>
      <c r="I48" s="1"/>
    </row>
    <row r="49" spans="1:9" x14ac:dyDescent="0.25">
      <c r="A49" s="1"/>
      <c r="B49" s="63"/>
      <c r="C49" s="64"/>
      <c r="D49" s="64"/>
      <c r="E49" s="64"/>
      <c r="F49" s="64"/>
      <c r="G49" s="55"/>
      <c r="H49" s="19"/>
      <c r="I49" s="1"/>
    </row>
    <row r="50" spans="1:9" x14ac:dyDescent="0.25">
      <c r="A50" s="1"/>
      <c r="B50" s="1"/>
      <c r="C50" s="1"/>
      <c r="D50" s="1"/>
      <c r="E50" s="1"/>
      <c r="F50" s="1"/>
      <c r="G50" s="56"/>
      <c r="H50" s="1"/>
      <c r="I50" s="1"/>
    </row>
    <row r="51" spans="1:9" x14ac:dyDescent="0.25">
      <c r="A51" s="1"/>
      <c r="B51" s="117" t="s">
        <v>145</v>
      </c>
      <c r="C51" s="118"/>
      <c r="D51" s="118"/>
      <c r="E51" s="118"/>
      <c r="F51" s="118"/>
      <c r="G51" s="130"/>
      <c r="H51" s="119"/>
      <c r="I51" s="1"/>
    </row>
    <row r="52" spans="1:9" x14ac:dyDescent="0.25">
      <c r="A52" s="1"/>
      <c r="B52" s="124" t="s">
        <v>146</v>
      </c>
      <c r="C52" s="125"/>
      <c r="D52" s="125"/>
      <c r="E52" s="125"/>
      <c r="F52" s="126"/>
      <c r="G52" s="54">
        <f>(G47-G48)*(1+'Fane 13. Nøgletal'!C15)</f>
        <v>6601186.3644024944</v>
      </c>
      <c r="H52" s="14" t="s">
        <v>3</v>
      </c>
      <c r="I52" s="1"/>
    </row>
    <row r="53" spans="1:9" x14ac:dyDescent="0.25">
      <c r="A53" s="1"/>
      <c r="B53" s="124" t="s">
        <v>147</v>
      </c>
      <c r="C53" s="125"/>
      <c r="D53" s="125"/>
      <c r="E53" s="125"/>
      <c r="F53" s="126"/>
      <c r="G53" s="54">
        <f>(G52)*'Fane 13. Nøgletal'!C31</f>
        <v>132023.72728804988</v>
      </c>
      <c r="H53" s="14" t="s">
        <v>3</v>
      </c>
      <c r="I53" s="1"/>
    </row>
    <row r="54" spans="1:9" x14ac:dyDescent="0.25">
      <c r="A54" s="1"/>
      <c r="B54" s="63"/>
      <c r="C54" s="64"/>
      <c r="D54" s="64"/>
      <c r="E54" s="64"/>
      <c r="F54" s="64"/>
      <c r="G54" s="55"/>
      <c r="H54" s="19"/>
      <c r="I54" s="1"/>
    </row>
    <row r="55" spans="1:9" x14ac:dyDescent="0.25">
      <c r="A55" s="1"/>
      <c r="B55" s="1"/>
      <c r="C55" s="1"/>
      <c r="D55" s="1"/>
      <c r="E55" s="1"/>
      <c r="F55" s="1"/>
      <c r="G55" s="56"/>
      <c r="H55" s="1"/>
      <c r="I55" s="1"/>
    </row>
    <row r="56" spans="1:9" x14ac:dyDescent="0.25">
      <c r="A56" s="1"/>
      <c r="B56" s="117" t="s">
        <v>174</v>
      </c>
      <c r="C56" s="118"/>
      <c r="D56" s="118"/>
      <c r="E56" s="118"/>
      <c r="F56" s="118"/>
      <c r="G56" s="130"/>
      <c r="H56" s="119"/>
      <c r="I56" s="1"/>
    </row>
    <row r="57" spans="1:9" x14ac:dyDescent="0.25">
      <c r="A57" s="1"/>
      <c r="B57" s="124" t="s">
        <v>175</v>
      </c>
      <c r="C57" s="125"/>
      <c r="D57" s="125"/>
      <c r="E57" s="125"/>
      <c r="F57" s="126"/>
      <c r="G57" s="54">
        <f>(G52-G53)*(1+'Fane 13. Nøgletal'!C15)</f>
        <v>6699464.8269957192</v>
      </c>
      <c r="H57" s="14" t="s">
        <v>3</v>
      </c>
      <c r="I57" s="1"/>
    </row>
    <row r="58" spans="1:9" x14ac:dyDescent="0.25">
      <c r="A58" s="1"/>
      <c r="B58" s="124" t="s">
        <v>176</v>
      </c>
      <c r="C58" s="125"/>
      <c r="D58" s="125"/>
      <c r="E58" s="125"/>
      <c r="F58" s="126"/>
      <c r="G58" s="54">
        <f>(G57)*'Fane 13. Nøgletal'!C31</f>
        <v>133989.29653991439</v>
      </c>
      <c r="H58" s="14" t="s">
        <v>3</v>
      </c>
      <c r="I58" s="1"/>
    </row>
    <row r="59" spans="1:9" x14ac:dyDescent="0.25">
      <c r="A59" s="1"/>
      <c r="B59" s="63"/>
      <c r="C59" s="64"/>
      <c r="D59" s="64"/>
      <c r="E59" s="64"/>
      <c r="F59" s="64"/>
      <c r="G59" s="37"/>
      <c r="H59" s="19"/>
      <c r="I59" s="1"/>
    </row>
    <row r="60" spans="1:9" x14ac:dyDescent="0.25">
      <c r="A60" s="1"/>
      <c r="B60" s="1"/>
      <c r="C60" s="1"/>
      <c r="D60" s="1"/>
      <c r="E60" s="1"/>
      <c r="F60" s="1"/>
      <c r="G60" s="38"/>
      <c r="H60" s="1"/>
      <c r="I60" s="1"/>
    </row>
    <row r="61" spans="1:9" x14ac:dyDescent="0.25">
      <c r="A61" s="1"/>
      <c r="B61" s="1"/>
      <c r="C61" s="1"/>
      <c r="D61" s="1"/>
      <c r="E61" s="1"/>
      <c r="F61" s="1"/>
      <c r="G61" s="38"/>
      <c r="H61" s="1"/>
      <c r="I61" s="1"/>
    </row>
    <row r="62" spans="1:9" x14ac:dyDescent="0.25">
      <c r="A62" s="1"/>
      <c r="B62" s="1"/>
      <c r="C62" s="1"/>
      <c r="D62" s="1"/>
      <c r="E62" s="1"/>
      <c r="F62" s="1"/>
      <c r="G62" s="38"/>
      <c r="H62" s="1"/>
      <c r="I62" s="1"/>
    </row>
    <row r="63" spans="1:9" x14ac:dyDescent="0.25">
      <c r="A63" s="1"/>
      <c r="B63" s="1"/>
      <c r="C63" s="1"/>
      <c r="D63" s="1"/>
      <c r="E63" s="1"/>
      <c r="F63" s="1"/>
      <c r="G63" s="38"/>
      <c r="H63" s="1"/>
      <c r="I63" s="1"/>
    </row>
    <row r="64" spans="1:9" x14ac:dyDescent="0.25">
      <c r="A64" s="1"/>
      <c r="B64" s="1"/>
      <c r="C64" s="1"/>
      <c r="D64" s="1"/>
      <c r="E64" s="1"/>
      <c r="F64" s="1"/>
      <c r="G64" s="38"/>
      <c r="H64" s="1"/>
      <c r="I64" s="1"/>
    </row>
    <row r="65" spans="1:9" x14ac:dyDescent="0.25">
      <c r="A65" s="1"/>
      <c r="B65" s="1"/>
      <c r="C65" s="1"/>
      <c r="D65" s="1"/>
      <c r="E65" s="1"/>
      <c r="F65" s="1"/>
      <c r="G65" s="38"/>
      <c r="H65" s="1"/>
      <c r="I65" s="1"/>
    </row>
  </sheetData>
  <sheetProtection algorithmName="SHA-512" hashValue="hcLDFik9d4gJdZp0w/NxOOtqDwYieIS5XN7xzqYYNeDiTeiV++WPiA3I5JkR+1l9510v1bbPZKmQjxsWwHFQUA==" saltValue="MGKx/kyFTyzNVmErqkKYyA==" spinCount="100000" sheet="1" objects="1" scenarios="1"/>
  <mergeCells count="38">
    <mergeCell ref="B58:F58"/>
    <mergeCell ref="B51:H51"/>
    <mergeCell ref="B52:F52"/>
    <mergeCell ref="B53:F53"/>
    <mergeCell ref="B37:F37"/>
    <mergeCell ref="B46:H46"/>
    <mergeCell ref="B36:F36"/>
    <mergeCell ref="B56:H56"/>
    <mergeCell ref="B57:F57"/>
    <mergeCell ref="B47:F47"/>
    <mergeCell ref="B48:F48"/>
    <mergeCell ref="B40:H40"/>
    <mergeCell ref="B41:F41"/>
    <mergeCell ref="B43:F43"/>
    <mergeCell ref="B42:F42"/>
    <mergeCell ref="B25:F25"/>
    <mergeCell ref="B35:F35"/>
    <mergeCell ref="B30:F30"/>
    <mergeCell ref="B31:F31"/>
    <mergeCell ref="B22:H22"/>
    <mergeCell ref="B24:F24"/>
    <mergeCell ref="B28:H28"/>
    <mergeCell ref="B29:F29"/>
    <mergeCell ref="B34:H34"/>
    <mergeCell ref="B15:H15"/>
    <mergeCell ref="B1:H3"/>
    <mergeCell ref="B4:H4"/>
    <mergeCell ref="B5:F5"/>
    <mergeCell ref="B6:F6"/>
    <mergeCell ref="B10:F10"/>
    <mergeCell ref="B9:H9"/>
    <mergeCell ref="B11:F11"/>
    <mergeCell ref="B12:F12"/>
    <mergeCell ref="B16:F16"/>
    <mergeCell ref="B18:F18"/>
    <mergeCell ref="B17:F17"/>
    <mergeCell ref="B19:F19"/>
    <mergeCell ref="B23:F23"/>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I65"/>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4.570312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31" t="s">
        <v>99</v>
      </c>
      <c r="C1" s="132"/>
      <c r="D1" s="132"/>
      <c r="E1" s="132"/>
      <c r="F1" s="132"/>
      <c r="G1" s="132"/>
      <c r="H1" s="132"/>
      <c r="I1" s="1"/>
    </row>
    <row r="2" spans="1:9" ht="19.899999999999999" customHeight="1" x14ac:dyDescent="0.25">
      <c r="A2" s="1"/>
      <c r="B2" s="132"/>
      <c r="C2" s="132"/>
      <c r="D2" s="132"/>
      <c r="E2" s="132"/>
      <c r="F2" s="132"/>
      <c r="G2" s="132"/>
      <c r="H2" s="132"/>
      <c r="I2" s="1"/>
    </row>
    <row r="3" spans="1:9" ht="15" customHeight="1" x14ac:dyDescent="0.25">
      <c r="A3" s="1"/>
      <c r="B3" s="133"/>
      <c r="C3" s="133"/>
      <c r="D3" s="133"/>
      <c r="E3" s="133"/>
      <c r="F3" s="133"/>
      <c r="G3" s="133"/>
      <c r="H3" s="133"/>
      <c r="I3" s="1"/>
    </row>
    <row r="4" spans="1:9" x14ac:dyDescent="0.25">
      <c r="A4" s="1"/>
      <c r="B4" s="117" t="s">
        <v>53</v>
      </c>
      <c r="C4" s="118"/>
      <c r="D4" s="118"/>
      <c r="E4" s="118"/>
      <c r="F4" s="118"/>
      <c r="G4" s="118"/>
      <c r="H4" s="119"/>
      <c r="I4" s="1"/>
    </row>
    <row r="5" spans="1:9" x14ac:dyDescent="0.25">
      <c r="A5" s="1"/>
      <c r="B5" s="124" t="s">
        <v>56</v>
      </c>
      <c r="C5" s="125"/>
      <c r="D5" s="125"/>
      <c r="E5" s="125"/>
      <c r="F5" s="126"/>
      <c r="G5" s="54">
        <v>9221894</v>
      </c>
      <c r="H5" s="14" t="s">
        <v>3</v>
      </c>
      <c r="I5" s="1"/>
    </row>
    <row r="6" spans="1:9" x14ac:dyDescent="0.25">
      <c r="A6" s="1"/>
      <c r="B6" s="124" t="s">
        <v>54</v>
      </c>
      <c r="C6" s="125"/>
      <c r="D6" s="125"/>
      <c r="E6" s="125"/>
      <c r="F6" s="126"/>
      <c r="G6" s="54">
        <f>G5*'Fane 13. Nøgletal'!C20</f>
        <v>83919.235400000005</v>
      </c>
      <c r="H6" s="14" t="s">
        <v>3</v>
      </c>
      <c r="I6" s="1"/>
    </row>
    <row r="7" spans="1:9" x14ac:dyDescent="0.25">
      <c r="A7" s="1"/>
      <c r="B7" s="63"/>
      <c r="C7" s="64"/>
      <c r="D7" s="64"/>
      <c r="E7" s="64"/>
      <c r="F7" s="64"/>
      <c r="G7" s="57"/>
      <c r="H7" s="19"/>
      <c r="I7" s="1"/>
    </row>
    <row r="8" spans="1:9" x14ac:dyDescent="0.25">
      <c r="A8" s="1"/>
      <c r="B8" s="1"/>
      <c r="C8" s="1"/>
      <c r="D8" s="1"/>
      <c r="E8" s="1"/>
      <c r="F8" s="1"/>
      <c r="G8" s="58"/>
      <c r="H8" s="1"/>
      <c r="I8" s="1"/>
    </row>
    <row r="9" spans="1:9" x14ac:dyDescent="0.25">
      <c r="A9" s="1"/>
      <c r="B9" s="117" t="s">
        <v>57</v>
      </c>
      <c r="C9" s="118"/>
      <c r="D9" s="118"/>
      <c r="E9" s="118"/>
      <c r="F9" s="118"/>
      <c r="G9" s="130"/>
      <c r="H9" s="119"/>
      <c r="I9" s="1"/>
    </row>
    <row r="10" spans="1:9" x14ac:dyDescent="0.25">
      <c r="A10" s="1"/>
      <c r="B10" s="124" t="s">
        <v>58</v>
      </c>
      <c r="C10" s="125"/>
      <c r="D10" s="125"/>
      <c r="E10" s="125"/>
      <c r="F10" s="126"/>
      <c r="G10" s="54">
        <f>(G5-G6)*(1+'Fane 13. Nøgletal'!C9)</f>
        <v>9254027.0441104192</v>
      </c>
      <c r="H10" s="14" t="s">
        <v>3</v>
      </c>
      <c r="I10" s="1"/>
    </row>
    <row r="11" spans="1:9" x14ac:dyDescent="0.25">
      <c r="A11" s="1"/>
      <c r="B11" s="127" t="s">
        <v>59</v>
      </c>
      <c r="C11" s="128"/>
      <c r="D11" s="128"/>
      <c r="E11" s="128"/>
      <c r="F11" s="129"/>
      <c r="G11" s="59">
        <v>0</v>
      </c>
      <c r="H11" s="14" t="s">
        <v>3</v>
      </c>
      <c r="I11" s="1"/>
    </row>
    <row r="12" spans="1:9" x14ac:dyDescent="0.25">
      <c r="A12" s="1"/>
      <c r="B12" s="124" t="s">
        <v>60</v>
      </c>
      <c r="C12" s="125"/>
      <c r="D12" s="125"/>
      <c r="E12" s="125"/>
      <c r="F12" s="126"/>
      <c r="G12" s="54">
        <f>G10*'Fane 13. Nøgletal'!C20+G11*'Fane 13. Nøgletal'!C21</f>
        <v>84211.646101404825</v>
      </c>
      <c r="H12" s="14" t="s">
        <v>3</v>
      </c>
      <c r="I12" s="1"/>
    </row>
    <row r="13" spans="1:9" x14ac:dyDescent="0.25">
      <c r="A13" s="1"/>
      <c r="B13" s="63"/>
      <c r="C13" s="64"/>
      <c r="D13" s="64"/>
      <c r="E13" s="64"/>
      <c r="F13" s="64"/>
      <c r="G13" s="57"/>
      <c r="H13" s="19"/>
      <c r="I13" s="1"/>
    </row>
    <row r="14" spans="1:9" x14ac:dyDescent="0.25">
      <c r="A14" s="1"/>
      <c r="B14" s="1"/>
      <c r="C14" s="1"/>
      <c r="D14" s="1"/>
      <c r="E14" s="1"/>
      <c r="F14" s="1"/>
      <c r="G14" s="58"/>
      <c r="H14" s="1"/>
      <c r="I14" s="1"/>
    </row>
    <row r="15" spans="1:9" x14ac:dyDescent="0.25">
      <c r="A15" s="1"/>
      <c r="B15" s="117" t="s">
        <v>61</v>
      </c>
      <c r="C15" s="118"/>
      <c r="D15" s="118"/>
      <c r="E15" s="118"/>
      <c r="F15" s="118"/>
      <c r="G15" s="130"/>
      <c r="H15" s="119"/>
      <c r="I15" s="1"/>
    </row>
    <row r="16" spans="1:9" x14ac:dyDescent="0.25">
      <c r="A16" s="1"/>
      <c r="B16" s="124" t="s">
        <v>62</v>
      </c>
      <c r="C16" s="125"/>
      <c r="D16" s="125"/>
      <c r="E16" s="125"/>
      <c r="F16" s="126"/>
      <c r="G16" s="54">
        <f>(G10+G11-G12)*(1+'Fane 13. Nøgletal'!C11)</f>
        <v>9324785.2782353666</v>
      </c>
      <c r="H16" s="14" t="s">
        <v>3</v>
      </c>
      <c r="I16" s="1"/>
    </row>
    <row r="17" spans="1:9" x14ac:dyDescent="0.25">
      <c r="A17" s="1"/>
      <c r="B17" s="124" t="s">
        <v>109</v>
      </c>
      <c r="C17" s="125"/>
      <c r="D17" s="125"/>
      <c r="E17" s="125"/>
      <c r="F17" s="126"/>
      <c r="G17" s="54">
        <v>-58984.335777304375</v>
      </c>
      <c r="H17" s="14" t="s">
        <v>3</v>
      </c>
      <c r="I17" s="1"/>
    </row>
    <row r="18" spans="1:9" x14ac:dyDescent="0.25">
      <c r="A18" s="1"/>
      <c r="B18" s="127" t="s">
        <v>63</v>
      </c>
      <c r="C18" s="128"/>
      <c r="D18" s="128"/>
      <c r="E18" s="128"/>
      <c r="F18" s="129"/>
      <c r="G18" s="54">
        <v>0</v>
      </c>
      <c r="H18" s="14" t="s">
        <v>3</v>
      </c>
      <c r="I18" s="1"/>
    </row>
    <row r="19" spans="1:9" x14ac:dyDescent="0.25">
      <c r="A19" s="1"/>
      <c r="B19" s="124" t="s">
        <v>64</v>
      </c>
      <c r="C19" s="125"/>
      <c r="D19" s="125"/>
      <c r="E19" s="125"/>
      <c r="F19" s="126"/>
      <c r="G19" s="54">
        <f>(G16+G17+G18)*'Fane 13. Nøgletal'!C22</f>
        <v>80612.468199385126</v>
      </c>
      <c r="H19" s="14" t="s">
        <v>3</v>
      </c>
      <c r="I19" s="1"/>
    </row>
    <row r="20" spans="1:9" x14ac:dyDescent="0.25">
      <c r="A20" s="1"/>
      <c r="B20" s="63"/>
      <c r="C20" s="64"/>
      <c r="D20" s="64"/>
      <c r="E20" s="64"/>
      <c r="F20" s="64"/>
      <c r="G20" s="57"/>
      <c r="H20" s="19"/>
      <c r="I20" s="1"/>
    </row>
    <row r="21" spans="1:9" x14ac:dyDescent="0.25">
      <c r="A21" s="1"/>
      <c r="B21" s="1"/>
      <c r="C21" s="1"/>
      <c r="D21" s="1"/>
      <c r="E21" s="1"/>
      <c r="F21" s="1"/>
      <c r="G21" s="58"/>
      <c r="H21" s="1"/>
      <c r="I21" s="1"/>
    </row>
    <row r="22" spans="1:9" x14ac:dyDescent="0.25">
      <c r="A22" s="1"/>
      <c r="B22" s="117" t="s">
        <v>65</v>
      </c>
      <c r="C22" s="118"/>
      <c r="D22" s="118"/>
      <c r="E22" s="118"/>
      <c r="F22" s="118"/>
      <c r="G22" s="130"/>
      <c r="H22" s="119"/>
      <c r="I22" s="1"/>
    </row>
    <row r="23" spans="1:9" x14ac:dyDescent="0.25">
      <c r="A23" s="1"/>
      <c r="B23" s="124" t="s">
        <v>66</v>
      </c>
      <c r="C23" s="125"/>
      <c r="D23" s="125"/>
      <c r="E23" s="125"/>
      <c r="F23" s="126"/>
      <c r="G23" s="54">
        <f>(SUM(G16:G18)-G19)*(1+'Fane 13. Nøgletal'!C11)</f>
        <v>9340418.1594736464</v>
      </c>
      <c r="H23" s="14" t="s">
        <v>3</v>
      </c>
      <c r="I23" s="1"/>
    </row>
    <row r="24" spans="1:9" x14ac:dyDescent="0.25">
      <c r="A24" s="1"/>
      <c r="B24" s="127" t="s">
        <v>67</v>
      </c>
      <c r="C24" s="128"/>
      <c r="D24" s="128"/>
      <c r="E24" s="128"/>
      <c r="F24" s="129"/>
      <c r="G24" s="54">
        <v>0</v>
      </c>
      <c r="H24" s="14" t="s">
        <v>3</v>
      </c>
      <c r="I24" s="1"/>
    </row>
    <row r="25" spans="1:9" x14ac:dyDescent="0.25">
      <c r="A25" s="1"/>
      <c r="B25" s="124" t="s">
        <v>68</v>
      </c>
      <c r="C25" s="125"/>
      <c r="D25" s="125"/>
      <c r="E25" s="125"/>
      <c r="F25" s="126"/>
      <c r="G25" s="54">
        <f>G23*'Fane 13. Nøgletal'!C22+G24*'Fane 13. Nøgletal'!C23</f>
        <v>81261.63798742072</v>
      </c>
      <c r="H25" s="14" t="s">
        <v>3</v>
      </c>
      <c r="I25" s="1"/>
    </row>
    <row r="26" spans="1:9" x14ac:dyDescent="0.25">
      <c r="A26" s="1"/>
      <c r="B26" s="63"/>
      <c r="C26" s="64"/>
      <c r="D26" s="64"/>
      <c r="E26" s="64"/>
      <c r="F26" s="64"/>
      <c r="G26" s="57"/>
      <c r="H26" s="19"/>
      <c r="I26" s="1"/>
    </row>
    <row r="27" spans="1:9" x14ac:dyDescent="0.25">
      <c r="A27" s="1"/>
      <c r="B27" s="1"/>
      <c r="C27" s="1"/>
      <c r="D27" s="1"/>
      <c r="E27" s="1"/>
      <c r="F27" s="1"/>
      <c r="G27" s="58"/>
      <c r="H27" s="1"/>
      <c r="I27" s="1"/>
    </row>
    <row r="28" spans="1:9" x14ac:dyDescent="0.25">
      <c r="A28" s="1"/>
      <c r="B28" s="117" t="s">
        <v>130</v>
      </c>
      <c r="C28" s="118"/>
      <c r="D28" s="118"/>
      <c r="E28" s="118"/>
      <c r="F28" s="118"/>
      <c r="G28" s="130"/>
      <c r="H28" s="119"/>
      <c r="I28" s="1"/>
    </row>
    <row r="29" spans="1:9" x14ac:dyDescent="0.25">
      <c r="A29" s="1"/>
      <c r="B29" s="124" t="s">
        <v>69</v>
      </c>
      <c r="C29" s="125"/>
      <c r="D29" s="125"/>
      <c r="E29" s="125"/>
      <c r="F29" s="126"/>
      <c r="G29" s="54">
        <f>(G23+G24-G25)*(1+'Fane 13. Nøgletal'!C13)</f>
        <v>9372118.2310483586</v>
      </c>
      <c r="H29" s="14" t="s">
        <v>3</v>
      </c>
      <c r="I29" s="1"/>
    </row>
    <row r="30" spans="1:9" x14ac:dyDescent="0.25">
      <c r="A30" s="1"/>
      <c r="B30" s="124" t="s">
        <v>123</v>
      </c>
      <c r="C30" s="125"/>
      <c r="D30" s="125"/>
      <c r="E30" s="125"/>
      <c r="F30" s="126"/>
      <c r="G30" s="54">
        <v>0</v>
      </c>
      <c r="H30" s="14" t="s">
        <v>3</v>
      </c>
      <c r="I30" s="1"/>
    </row>
    <row r="31" spans="1:9" x14ac:dyDescent="0.25">
      <c r="A31" s="1"/>
      <c r="B31" s="124" t="s">
        <v>131</v>
      </c>
      <c r="C31" s="125"/>
      <c r="D31" s="125"/>
      <c r="E31" s="125"/>
      <c r="F31" s="126"/>
      <c r="G31" s="54">
        <f>(G29+G30)*'Fane 13. Nøgletal'!C24</f>
        <v>257733.25135382987</v>
      </c>
      <c r="H31" s="14" t="s">
        <v>3</v>
      </c>
      <c r="I31" s="1"/>
    </row>
    <row r="32" spans="1:9" x14ac:dyDescent="0.25">
      <c r="A32" s="1"/>
      <c r="B32" s="63"/>
      <c r="C32" s="64"/>
      <c r="D32" s="64"/>
      <c r="E32" s="64"/>
      <c r="F32" s="64"/>
      <c r="G32" s="57"/>
      <c r="H32" s="19"/>
      <c r="I32" s="1"/>
    </row>
    <row r="33" spans="1:9" x14ac:dyDescent="0.25">
      <c r="A33" s="1"/>
      <c r="B33" s="1"/>
      <c r="C33" s="1"/>
      <c r="D33" s="1"/>
      <c r="E33" s="1"/>
      <c r="F33" s="1"/>
      <c r="G33" s="58"/>
      <c r="H33" s="1"/>
      <c r="I33" s="1"/>
    </row>
    <row r="34" spans="1:9" x14ac:dyDescent="0.25">
      <c r="A34" s="1"/>
      <c r="B34" s="117" t="s">
        <v>135</v>
      </c>
      <c r="C34" s="118"/>
      <c r="D34" s="118"/>
      <c r="E34" s="118"/>
      <c r="F34" s="118"/>
      <c r="G34" s="130"/>
      <c r="H34" s="119"/>
      <c r="I34" s="1"/>
    </row>
    <row r="35" spans="1:9" x14ac:dyDescent="0.25">
      <c r="A35" s="1"/>
      <c r="B35" s="124" t="s">
        <v>72</v>
      </c>
      <c r="C35" s="125"/>
      <c r="D35" s="125"/>
      <c r="E35" s="125"/>
      <c r="F35" s="126"/>
      <c r="G35" s="54">
        <f>(G29+G30-G31)*(1+'Fane 13. Nøgletal'!C13)</f>
        <v>9225580.4764468018</v>
      </c>
      <c r="H35" s="14" t="s">
        <v>3</v>
      </c>
      <c r="I35" s="1"/>
    </row>
    <row r="36" spans="1:9" x14ac:dyDescent="0.25">
      <c r="A36" s="1"/>
      <c r="B36" s="124" t="s">
        <v>141</v>
      </c>
      <c r="C36" s="125"/>
      <c r="D36" s="125"/>
      <c r="E36" s="125"/>
      <c r="F36" s="126"/>
      <c r="G36" s="54">
        <f>SUM('Fane 3. Omkostninger i ØR2022'!E11)*(1+'Fane 13. Nøgletal'!C14)</f>
        <v>204244.36941367004</v>
      </c>
      <c r="H36" s="14" t="s">
        <v>3</v>
      </c>
      <c r="I36" s="1"/>
    </row>
    <row r="37" spans="1:9" x14ac:dyDescent="0.25">
      <c r="A37" s="1"/>
      <c r="B37" s="124" t="s">
        <v>136</v>
      </c>
      <c r="C37" s="125"/>
      <c r="D37" s="125"/>
      <c r="E37" s="125"/>
      <c r="F37" s="126"/>
      <c r="G37" s="54">
        <f>G35*'Fane 13. Nøgletal'!C24+G36*'Fane 13. Nøgletal'!C25</f>
        <v>256726.27976960939</v>
      </c>
      <c r="H37" s="14" t="s">
        <v>3</v>
      </c>
      <c r="I37" s="1"/>
    </row>
    <row r="38" spans="1:9" x14ac:dyDescent="0.25">
      <c r="A38" s="1"/>
      <c r="B38" s="63"/>
      <c r="C38" s="64"/>
      <c r="D38" s="64"/>
      <c r="E38" s="64"/>
      <c r="F38" s="64"/>
      <c r="G38" s="57"/>
      <c r="H38" s="19"/>
      <c r="I38" s="1"/>
    </row>
    <row r="39" spans="1:9" x14ac:dyDescent="0.25">
      <c r="A39" s="1"/>
      <c r="B39" s="1"/>
      <c r="C39" s="1"/>
      <c r="D39" s="1"/>
      <c r="E39" s="1"/>
      <c r="F39" s="1"/>
      <c r="G39" s="58"/>
      <c r="H39" s="1"/>
      <c r="I39" s="1"/>
    </row>
    <row r="40" spans="1:9" x14ac:dyDescent="0.25">
      <c r="A40" s="1"/>
      <c r="B40" s="117" t="s">
        <v>200</v>
      </c>
      <c r="C40" s="118"/>
      <c r="D40" s="118"/>
      <c r="E40" s="118"/>
      <c r="F40" s="118"/>
      <c r="G40" s="130"/>
      <c r="H40" s="119"/>
      <c r="I40" s="1"/>
    </row>
    <row r="41" spans="1:9" x14ac:dyDescent="0.25">
      <c r="A41" s="1"/>
      <c r="B41" s="124" t="s">
        <v>71</v>
      </c>
      <c r="C41" s="125"/>
      <c r="D41" s="125"/>
      <c r="E41" s="125"/>
      <c r="F41" s="126"/>
      <c r="G41" s="54">
        <f>(G35+G36-G37)*(1+'Fane 13. Nøgletal'!C15)</f>
        <v>9499660.8750436995</v>
      </c>
      <c r="H41" s="14" t="s">
        <v>3</v>
      </c>
      <c r="I41" s="1"/>
    </row>
    <row r="42" spans="1:9" x14ac:dyDescent="0.25">
      <c r="A42" s="1"/>
      <c r="B42" s="124" t="s">
        <v>211</v>
      </c>
      <c r="C42" s="125"/>
      <c r="D42" s="125"/>
      <c r="E42" s="125"/>
      <c r="F42" s="126"/>
      <c r="G42" s="59">
        <f>SUM('Fane 2.1. Økonomisk ramme 2023'!C10+'Fane 2.1. Økonomisk ramme 2023'!C12+'Fane 2.1. Økonomisk ramme 2023'!C14)*(1+'Fane 13. Nøgletal'!C15)</f>
        <v>0</v>
      </c>
      <c r="H42" s="14" t="s">
        <v>3</v>
      </c>
      <c r="I42" s="1"/>
    </row>
    <row r="43" spans="1:9" x14ac:dyDescent="0.25">
      <c r="A43" s="1"/>
      <c r="B43" s="124" t="s">
        <v>70</v>
      </c>
      <c r="C43" s="125"/>
      <c r="D43" s="125"/>
      <c r="E43" s="125"/>
      <c r="F43" s="126"/>
      <c r="G43" s="54">
        <f>(G41+G42)*'Fane 13. Nøgletal'!C26</f>
        <v>0</v>
      </c>
      <c r="H43" s="14" t="s">
        <v>3</v>
      </c>
      <c r="I43" s="1"/>
    </row>
    <row r="44" spans="1:9" x14ac:dyDescent="0.25">
      <c r="A44" s="1"/>
      <c r="B44" s="63"/>
      <c r="C44" s="64"/>
      <c r="D44" s="64"/>
      <c r="E44" s="64"/>
      <c r="F44" s="64"/>
      <c r="G44" s="57"/>
      <c r="H44" s="19"/>
      <c r="I44" s="1"/>
    </row>
    <row r="45" spans="1:9" ht="12" customHeight="1" x14ac:dyDescent="0.25">
      <c r="A45" s="1"/>
      <c r="B45" s="1"/>
      <c r="C45" s="1"/>
      <c r="D45" s="1"/>
      <c r="E45" s="1"/>
      <c r="F45" s="1"/>
      <c r="G45" s="58"/>
      <c r="H45" s="1"/>
      <c r="I45" s="1"/>
    </row>
    <row r="46" spans="1:9" x14ac:dyDescent="0.25">
      <c r="A46" s="1"/>
      <c r="B46" s="117" t="s">
        <v>201</v>
      </c>
      <c r="C46" s="118"/>
      <c r="D46" s="118"/>
      <c r="E46" s="118"/>
      <c r="F46" s="118"/>
      <c r="G46" s="130"/>
      <c r="H46" s="119"/>
      <c r="I46" s="1"/>
    </row>
    <row r="47" spans="1:9" x14ac:dyDescent="0.25">
      <c r="A47" s="1"/>
      <c r="B47" s="124" t="s">
        <v>124</v>
      </c>
      <c r="C47" s="125"/>
      <c r="D47" s="125"/>
      <c r="E47" s="125"/>
      <c r="F47" s="126"/>
      <c r="G47" s="54">
        <f>(G41+G42-G43)*(1+'Fane 13. Nøgletal'!C15)</f>
        <v>9837848.8021952566</v>
      </c>
      <c r="H47" s="14" t="s">
        <v>3</v>
      </c>
      <c r="I47" s="1"/>
    </row>
    <row r="48" spans="1:9" x14ac:dyDescent="0.25">
      <c r="A48" s="1"/>
      <c r="B48" s="124" t="s">
        <v>125</v>
      </c>
      <c r="C48" s="125"/>
      <c r="D48" s="125"/>
      <c r="E48" s="125"/>
      <c r="F48" s="126"/>
      <c r="G48" s="54">
        <f>(G47)*'Fane 13. Nøgletal'!C26</f>
        <v>0</v>
      </c>
      <c r="H48" s="14" t="s">
        <v>3</v>
      </c>
      <c r="I48" s="1"/>
    </row>
    <row r="49" spans="1:9" x14ac:dyDescent="0.25">
      <c r="A49" s="1"/>
      <c r="B49" s="63"/>
      <c r="C49" s="64"/>
      <c r="D49" s="64"/>
      <c r="E49" s="64"/>
      <c r="F49" s="64"/>
      <c r="G49" s="57"/>
      <c r="H49" s="19"/>
      <c r="I49" s="1"/>
    </row>
    <row r="50" spans="1:9" x14ac:dyDescent="0.25">
      <c r="A50" s="1"/>
      <c r="B50" s="1"/>
      <c r="C50" s="1"/>
      <c r="D50" s="1"/>
      <c r="E50" s="1"/>
      <c r="F50" s="1"/>
      <c r="G50" s="58"/>
      <c r="H50" s="1"/>
      <c r="I50" s="1"/>
    </row>
    <row r="51" spans="1:9" x14ac:dyDescent="0.25">
      <c r="A51" s="1"/>
      <c r="B51" s="117" t="s">
        <v>142</v>
      </c>
      <c r="C51" s="118"/>
      <c r="D51" s="118"/>
      <c r="E51" s="118"/>
      <c r="F51" s="118"/>
      <c r="G51" s="130"/>
      <c r="H51" s="119"/>
      <c r="I51" s="1"/>
    </row>
    <row r="52" spans="1:9" x14ac:dyDescent="0.25">
      <c r="A52" s="1"/>
      <c r="B52" s="124" t="s">
        <v>143</v>
      </c>
      <c r="C52" s="125"/>
      <c r="D52" s="125"/>
      <c r="E52" s="125"/>
      <c r="F52" s="126"/>
      <c r="G52" s="54">
        <f>(G47-G48)*(1+'Fane 13. Nøgletal'!C15)</f>
        <v>10188076.219553409</v>
      </c>
      <c r="H52" s="14" t="s">
        <v>3</v>
      </c>
      <c r="I52" s="1"/>
    </row>
    <row r="53" spans="1:9" x14ac:dyDescent="0.25">
      <c r="A53" s="1"/>
      <c r="B53" s="124" t="s">
        <v>144</v>
      </c>
      <c r="C53" s="125"/>
      <c r="D53" s="125"/>
      <c r="E53" s="125"/>
      <c r="F53" s="126"/>
      <c r="G53" s="54">
        <f>(G52)*'Fane 13. Nøgletal'!C26</f>
        <v>0</v>
      </c>
      <c r="H53" s="14" t="s">
        <v>3</v>
      </c>
      <c r="I53" s="1"/>
    </row>
    <row r="54" spans="1:9" x14ac:dyDescent="0.25">
      <c r="A54" s="1"/>
      <c r="B54" s="63"/>
      <c r="C54" s="64"/>
      <c r="D54" s="64"/>
      <c r="E54" s="64"/>
      <c r="F54" s="64"/>
      <c r="G54" s="57"/>
      <c r="H54" s="19"/>
      <c r="I54" s="1"/>
    </row>
    <row r="55" spans="1:9" x14ac:dyDescent="0.25">
      <c r="A55" s="1"/>
      <c r="B55" s="1"/>
      <c r="C55" s="1"/>
      <c r="D55" s="1"/>
      <c r="E55" s="1"/>
      <c r="F55" s="1"/>
      <c r="G55" s="58"/>
      <c r="H55" s="1"/>
      <c r="I55" s="1"/>
    </row>
    <row r="56" spans="1:9" x14ac:dyDescent="0.25">
      <c r="A56" s="1"/>
      <c r="B56" s="117" t="s">
        <v>177</v>
      </c>
      <c r="C56" s="118"/>
      <c r="D56" s="118"/>
      <c r="E56" s="118"/>
      <c r="F56" s="118"/>
      <c r="G56" s="130"/>
      <c r="H56" s="119"/>
      <c r="I56" s="1"/>
    </row>
    <row r="57" spans="1:9" x14ac:dyDescent="0.25">
      <c r="A57" s="1"/>
      <c r="B57" s="124" t="s">
        <v>178</v>
      </c>
      <c r="C57" s="125"/>
      <c r="D57" s="125"/>
      <c r="E57" s="125"/>
      <c r="F57" s="126"/>
      <c r="G57" s="54">
        <f>(G52-G53)*(1+'Fane 13. Nøgletal'!C15)</f>
        <v>10550771.732969511</v>
      </c>
      <c r="H57" s="14" t="s">
        <v>3</v>
      </c>
      <c r="I57" s="1"/>
    </row>
    <row r="58" spans="1:9" x14ac:dyDescent="0.25">
      <c r="A58" s="1"/>
      <c r="B58" s="124" t="s">
        <v>179</v>
      </c>
      <c r="C58" s="125"/>
      <c r="D58" s="125"/>
      <c r="E58" s="125"/>
      <c r="F58" s="126"/>
      <c r="G58" s="54">
        <f>(G57)*'Fane 13. Nøgletal'!C26</f>
        <v>0</v>
      </c>
      <c r="H58" s="14" t="s">
        <v>3</v>
      </c>
      <c r="I58" s="1"/>
    </row>
    <row r="59" spans="1:9" x14ac:dyDescent="0.25">
      <c r="A59" s="1"/>
      <c r="B59" s="63"/>
      <c r="C59" s="64"/>
      <c r="D59" s="64"/>
      <c r="E59" s="64"/>
      <c r="F59" s="64"/>
      <c r="G59" s="64"/>
      <c r="H59" s="19"/>
      <c r="I59" s="1"/>
    </row>
    <row r="60" spans="1:9" x14ac:dyDescent="0.25">
      <c r="A60" s="1"/>
      <c r="B60" s="1"/>
      <c r="C60" s="1"/>
      <c r="D60" s="1"/>
      <c r="E60" s="1"/>
      <c r="F60" s="1"/>
      <c r="G60" s="1"/>
      <c r="H60" s="1"/>
      <c r="I60" s="1"/>
    </row>
    <row r="61" spans="1:9" x14ac:dyDescent="0.25">
      <c r="A61" s="1"/>
      <c r="B61" s="1"/>
      <c r="C61" s="1"/>
      <c r="D61" s="1"/>
      <c r="E61" s="1"/>
      <c r="F61" s="1"/>
      <c r="G61" s="1"/>
      <c r="H61" s="1"/>
      <c r="I61" s="1"/>
    </row>
    <row r="62" spans="1:9" x14ac:dyDescent="0.25">
      <c r="A62" s="1"/>
      <c r="B62" s="1"/>
      <c r="C62" s="1"/>
      <c r="D62" s="1"/>
      <c r="E62" s="1"/>
      <c r="F62" s="1"/>
      <c r="G62" s="1"/>
      <c r="H62" s="1"/>
      <c r="I62" s="1"/>
    </row>
    <row r="63" spans="1:9" x14ac:dyDescent="0.25">
      <c r="A63" s="1"/>
      <c r="B63" s="1"/>
      <c r="C63" s="1"/>
      <c r="D63" s="1"/>
      <c r="E63" s="1"/>
      <c r="F63" s="1"/>
      <c r="G63" s="1"/>
      <c r="H63" s="1"/>
      <c r="I63" s="1"/>
    </row>
    <row r="64" spans="1:9" x14ac:dyDescent="0.25">
      <c r="A64" s="1"/>
      <c r="B64" s="1"/>
      <c r="C64" s="1"/>
      <c r="D64" s="1"/>
      <c r="E64" s="1"/>
      <c r="F64" s="1"/>
      <c r="G64" s="1"/>
      <c r="H64" s="1"/>
      <c r="I64" s="1"/>
    </row>
    <row r="65" spans="1:9" x14ac:dyDescent="0.25">
      <c r="A65" s="1"/>
      <c r="B65" s="1"/>
      <c r="C65" s="1"/>
      <c r="D65" s="1"/>
      <c r="E65" s="1"/>
      <c r="F65" s="1"/>
      <c r="G65" s="1"/>
      <c r="H65" s="1"/>
      <c r="I65" s="1"/>
    </row>
  </sheetData>
  <sheetProtection algorithmName="SHA-512" hashValue="9d4E5BwCziHE5wfZ9jxljUmavs4dkGBP5IaUvPswfNXls95L+q4KXPbVWLpGP7fDSBgbl9IV9w+pU7RZ7ViD5g==" saltValue="2tNpNd3O3eBNcs9VogyD3g==" spinCount="100000" sheet="1" objects="1" scenarios="1"/>
  <mergeCells count="38">
    <mergeCell ref="B56:H56"/>
    <mergeCell ref="B57:F57"/>
    <mergeCell ref="B58:F58"/>
    <mergeCell ref="B1:H3"/>
    <mergeCell ref="B51:H51"/>
    <mergeCell ref="B52:F52"/>
    <mergeCell ref="B53:F53"/>
    <mergeCell ref="B35:F35"/>
    <mergeCell ref="B43:F43"/>
    <mergeCell ref="B19:F19"/>
    <mergeCell ref="B4:H4"/>
    <mergeCell ref="B5:F5"/>
    <mergeCell ref="B6:F6"/>
    <mergeCell ref="B9:H9"/>
    <mergeCell ref="B10:F10"/>
    <mergeCell ref="B11:F11"/>
    <mergeCell ref="B28:H28"/>
    <mergeCell ref="B29:F29"/>
    <mergeCell ref="B31:F31"/>
    <mergeCell ref="B34:H34"/>
    <mergeCell ref="B12:F12"/>
    <mergeCell ref="B15:H15"/>
    <mergeCell ref="B16:F16"/>
    <mergeCell ref="B18:F18"/>
    <mergeCell ref="B30:F30"/>
    <mergeCell ref="B17:F17"/>
    <mergeCell ref="B22:H22"/>
    <mergeCell ref="B23:F23"/>
    <mergeCell ref="B24:F24"/>
    <mergeCell ref="B25:F25"/>
    <mergeCell ref="B47:F47"/>
    <mergeCell ref="B48:F48"/>
    <mergeCell ref="B36:F36"/>
    <mergeCell ref="B42:F42"/>
    <mergeCell ref="B41:F41"/>
    <mergeCell ref="B40:H40"/>
    <mergeCell ref="B37:F37"/>
    <mergeCell ref="B46:H46"/>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1:H47"/>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8" t="s">
        <v>82</v>
      </c>
      <c r="C3" s="98"/>
      <c r="D3" s="98"/>
      <c r="E3" s="98"/>
      <c r="F3" s="98"/>
      <c r="G3" s="98"/>
      <c r="H3" s="1"/>
    </row>
    <row r="4" spans="1:8" ht="15" customHeight="1" x14ac:dyDescent="0.25">
      <c r="A4" s="1"/>
      <c r="B4" s="98"/>
      <c r="C4" s="98"/>
      <c r="D4" s="98"/>
      <c r="E4" s="98"/>
      <c r="F4" s="98"/>
      <c r="G4" s="98"/>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17" t="s">
        <v>9</v>
      </c>
      <c r="C8" s="118"/>
      <c r="D8" s="118"/>
      <c r="E8" s="118"/>
      <c r="F8" s="118"/>
      <c r="G8" s="118"/>
      <c r="H8" s="1"/>
    </row>
    <row r="9" spans="1:8" x14ac:dyDescent="0.25">
      <c r="A9" s="1"/>
      <c r="B9" s="72" t="s">
        <v>180</v>
      </c>
      <c r="C9" s="73"/>
      <c r="D9" s="73"/>
      <c r="E9" s="73"/>
      <c r="F9" s="74"/>
      <c r="G9" s="28">
        <v>0</v>
      </c>
      <c r="H9" s="1"/>
    </row>
    <row r="10" spans="1:8" x14ac:dyDescent="0.25">
      <c r="A10" s="1"/>
      <c r="B10" s="63"/>
      <c r="C10" s="64"/>
      <c r="D10" s="64"/>
      <c r="E10" s="64"/>
      <c r="F10" s="64"/>
      <c r="G10" s="64"/>
      <c r="H10" s="1"/>
    </row>
    <row r="11" spans="1:8" x14ac:dyDescent="0.25">
      <c r="A11" s="1"/>
      <c r="B11" s="1"/>
      <c r="C11" s="1"/>
      <c r="D11" s="1"/>
      <c r="E11" s="1"/>
      <c r="F11" s="1"/>
      <c r="G11" s="1"/>
      <c r="H11" s="1"/>
    </row>
    <row r="12" spans="1:8" ht="31.5" customHeight="1" x14ac:dyDescent="0.25">
      <c r="A12" s="1"/>
      <c r="B12" s="134" t="s">
        <v>202</v>
      </c>
      <c r="C12" s="134"/>
      <c r="D12" s="134"/>
      <c r="E12" s="134"/>
      <c r="F12" s="134"/>
      <c r="G12" s="134"/>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sheetData>
  <sheetProtection algorithmName="SHA-512" hashValue="qxwRJ9tcclaJaP1fNS9ik+3M2mBCBekvNW3x7csKy6vGZYTX7R8eJyInvYcR8YT7eIvdIGELbEwiDrTZVqXpGg==" saltValue="XATWxp61jO4pAZRr9va4YA==" spinCount="100000" sheet="1" objects="1" scenarios="1"/>
  <mergeCells count="3">
    <mergeCell ref="B12:G12"/>
    <mergeCell ref="B3:G4"/>
    <mergeCell ref="B8:G8"/>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18</vt:i4>
      </vt:variant>
    </vt:vector>
  </HeadingPairs>
  <TitlesOfParts>
    <vt:vector size="18" baseType="lpstr">
      <vt:lpstr>1. Forside</vt:lpstr>
      <vt:lpstr>Fane 2.1. Økonomisk ramme 2023</vt:lpstr>
      <vt:lpstr>Fane 2.2. Økonomisk ramme 2024</vt:lpstr>
      <vt:lpstr>Fane 2.3. Økonomisk ramme 2025</vt:lpstr>
      <vt:lpstr>Fane 2.4. Økonomisk ramme 2026</vt:lpstr>
      <vt:lpstr>Fane 3. Omkostninger i ØR2022</vt:lpstr>
      <vt:lpstr>Fane 4.1. Gen. krav - drift</vt:lpstr>
      <vt:lpstr>Fane 4.2. Gen. krav - anlæg</vt:lpstr>
      <vt:lpstr>Fane 5. Individuelt eff. krav</vt:lpstr>
      <vt:lpstr>Fane 6. Ikke-påvirkelige omk.</vt:lpstr>
      <vt:lpstr>Fane 7. Kontrol af ØR2021</vt:lpstr>
      <vt:lpstr>Fane 8. Skattesagen</vt:lpstr>
      <vt:lpstr>Fane 9. Anlægsprojekter (§ 19) </vt:lpstr>
      <vt:lpstr>Fane 10.1. Varige tillæg</vt:lpstr>
      <vt:lpstr>Fane 10.2. Engangstillæg</vt:lpstr>
      <vt:lpstr>Fane 11. Tilknyttet virksomhed</vt:lpstr>
      <vt:lpstr>Fane 12. Bortfald</vt:lpstr>
      <vt:lpstr>Fane 13. Nøgletal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Wouter Cuyvers</cp:lastModifiedBy>
  <cp:lastPrinted>2016-06-14T12:57:30Z</cp:lastPrinted>
  <dcterms:created xsi:type="dcterms:W3CDTF">2016-06-02T08:51:18Z</dcterms:created>
  <dcterms:modified xsi:type="dcterms:W3CDTF">2022-12-01T09:09:24Z</dcterms:modified>
</cp:coreProperties>
</file>