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æsø Vand AS (S06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Korrektion af ØR2020" sheetId="9" r:id="rId9"/>
    <sheet name="Fane 7. Anlægsprojekter" sheetId="10" r:id="rId10"/>
    <sheet name="Fane 8.1. Varige tillæg" sheetId="11" r:id="rId11"/>
    <sheet name="Fane 8.2. Engangstillæg" sheetId="12" r:id="rId12"/>
    <sheet name="Fane 9. Periodevise driftsomk." sheetId="13" r:id="rId13"/>
    <sheet name="Fane 10. Tilknyttet virksomhed" sheetId="14" r:id="rId14"/>
    <sheet name="Fane 11. Bortfald" sheetId="15" r:id="rId15"/>
    <sheet name="Fane 12. Nøgletal" sheetId="16" r:id="rId16"/>
  </sheets>
  <definedNames>
    <definedName name="Z_8BCA264E_FE70_4497_B667_7DCB6C5E8A89_.wvu.Cols" localSheetId="1" hidden="1">'Fane 2.1. Økonomisk ramme 2022'!$C:$D</definedName>
    <definedName name="Z_8BCA264E_FE70_4497_B667_7DCB6C5E8A89_.wvu.Cols" localSheetId="2" hidden="1">'Fane 2.2. Økonomisk ramme 2023'!$C:$D</definedName>
    <definedName name="Z_8BCA264E_FE70_4497_B667_7DCB6C5E8A89_.wvu.Cols" localSheetId="3" hidden="1">'Fane 2.3. Økonomisk ramme 2024'!$C:$D</definedName>
    <definedName name="Z_8BCA264E_FE70_4497_B667_7DCB6C5E8A89_.wvu.Cols" localSheetId="4" hidden="1">'Fane 2.4. Økonomisk ramme 2025'!$C:$D</definedName>
  </definedNames>
  <calcPr calcId="162913"/>
  <customWorkbookViews>
    <customWorkbookView name="Benedikte Lykke Østergaard Nielsen - Privat visning" guid="{8BCA264E-FE70-4497-B667-7DCB6C5E8A89}" mergeInterval="0" personalView="1" xWindow="-1920" yWindow="18" windowWidth="1920" windowHeight="2320" tabRatio="872" activeSheetId="6"/>
  </customWorkbookViews>
</workbook>
</file>

<file path=xl/calcChain.xml><?xml version="1.0" encoding="utf-8"?>
<calcChain xmlns="http://schemas.openxmlformats.org/spreadsheetml/2006/main">
  <c r="E16" i="9" l="1"/>
  <c r="E12" i="9"/>
  <c r="E26" i="8" l="1"/>
  <c r="E35" i="8" s="1"/>
  <c r="E37" i="8" s="1"/>
  <c r="E22" i="5" l="1"/>
  <c r="E22" i="4"/>
  <c r="E30" i="8"/>
  <c r="E27" i="2" s="1"/>
  <c r="E31" i="8"/>
  <c r="E26" i="3" s="1"/>
  <c r="E10" i="2" l="1"/>
  <c r="E15" i="13" l="1"/>
  <c r="E16" i="13" s="1"/>
  <c r="E10" i="3" l="1"/>
  <c r="E14" i="6" l="1"/>
  <c r="E10" i="13" l="1"/>
  <c r="E11" i="13" s="1"/>
  <c r="E20" i="2" s="1"/>
  <c r="E15" i="6"/>
  <c r="E16" i="6" s="1"/>
  <c r="E30" i="6" s="1"/>
  <c r="E9" i="2" l="1"/>
  <c r="E10" i="10" l="1"/>
  <c r="E25" i="13" l="1"/>
  <c r="E26" i="13" s="1"/>
  <c r="E20" i="13"/>
  <c r="E21" i="13" s="1"/>
  <c r="E17" i="9" l="1"/>
  <c r="E29" i="2" s="1"/>
  <c r="E16" i="4"/>
  <c r="E19" i="3"/>
  <c r="E16" i="5" l="1"/>
  <c r="E29" i="15" l="1"/>
  <c r="E30" i="15" s="1"/>
  <c r="C29" i="15"/>
  <c r="C30" i="15" s="1"/>
  <c r="E23" i="15"/>
  <c r="E24" i="15" s="1"/>
  <c r="C23" i="15"/>
  <c r="C24" i="15" s="1"/>
  <c r="E17" i="15"/>
  <c r="E18" i="15" s="1"/>
  <c r="C17" i="15"/>
  <c r="E9" i="5" l="1"/>
  <c r="C18" i="15"/>
  <c r="E12" i="3" s="1"/>
  <c r="E9" i="4"/>
  <c r="E32" i="12"/>
  <c r="C32" i="12"/>
  <c r="E25" i="12"/>
  <c r="C25" i="12"/>
  <c r="E18" i="12"/>
  <c r="C18" i="12"/>
  <c r="E11" i="12"/>
  <c r="C11" i="12"/>
  <c r="E33" i="12" l="1"/>
  <c r="E34" i="12" s="1"/>
  <c r="E19" i="5" s="1"/>
  <c r="C33" i="12"/>
  <c r="C34" i="12" s="1"/>
  <c r="E18" i="5" s="1"/>
  <c r="E26" i="12"/>
  <c r="E27" i="12" s="1"/>
  <c r="E19" i="4" s="1"/>
  <c r="C26" i="12"/>
  <c r="C27" i="12" s="1"/>
  <c r="E18" i="4" s="1"/>
  <c r="E19" i="12"/>
  <c r="E20" i="12" s="1"/>
  <c r="E22" i="3" s="1"/>
  <c r="C19" i="12"/>
  <c r="C20" i="12" s="1"/>
  <c r="E21" i="3" s="1"/>
  <c r="E12" i="12"/>
  <c r="E13" i="12" s="1"/>
  <c r="E23" i="2" s="1"/>
  <c r="C12" i="12"/>
  <c r="C13" i="12" s="1"/>
  <c r="E22" i="2" s="1"/>
  <c r="E24" i="2" l="1"/>
  <c r="E20" i="5"/>
  <c r="E20" i="4"/>
  <c r="E23" i="3" l="1"/>
  <c r="F11" i="10" l="1"/>
  <c r="C10" i="11" s="1"/>
  <c r="C11" i="11" s="1"/>
  <c r="C12" i="11" s="1"/>
  <c r="G11" i="10"/>
  <c r="E11" i="15" l="1"/>
  <c r="E12" i="15" s="1"/>
  <c r="C11" i="15"/>
  <c r="C12" i="15" s="1"/>
  <c r="E11" i="14"/>
  <c r="E12" i="14" s="1"/>
  <c r="C11" i="14"/>
  <c r="C12" i="14" s="1"/>
  <c r="C13" i="7"/>
  <c r="C14" i="7" s="1"/>
  <c r="E12" i="2" l="1"/>
  <c r="E13" i="2"/>
  <c r="E14" i="5"/>
  <c r="E18" i="2"/>
  <c r="E17" i="3"/>
  <c r="E14" i="4"/>
  <c r="E11" i="10" l="1"/>
  <c r="E10" i="11" s="1"/>
  <c r="E11" i="11" s="1"/>
  <c r="E12" i="11" l="1"/>
  <c r="E11" i="2" s="1"/>
  <c r="E14" i="2" s="1"/>
  <c r="E15" i="2" s="1"/>
  <c r="E16" i="2" s="1"/>
  <c r="E32" i="2" s="1"/>
  <c r="E11" i="3" l="1"/>
  <c r="E9" i="3" l="1"/>
  <c r="E13" i="3" l="1"/>
  <c r="E14" i="3" s="1"/>
  <c r="E15" i="3" l="1"/>
  <c r="E29" i="3" s="1"/>
  <c r="E8" i="4" l="1"/>
  <c r="E10" i="4" s="1"/>
  <c r="E11" i="4" s="1"/>
  <c r="E12" i="4" s="1"/>
  <c r="E25" i="4" s="1"/>
  <c r="E8" i="5" l="1"/>
  <c r="E10" i="5" s="1"/>
  <c r="E11" i="5" s="1"/>
  <c r="E12" i="5" s="1"/>
  <c r="E25" i="5" s="1"/>
</calcChain>
</file>

<file path=xl/sharedStrings.xml><?xml version="1.0" encoding="utf-8"?>
<sst xmlns="http://schemas.openxmlformats.org/spreadsheetml/2006/main" count="522" uniqueCount="186">
  <si>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</si>
  <si>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</si>
  <si>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</si>
  <si>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</si>
  <si>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</si>
  <si>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</si>
  <si>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</si>
  <si>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</si>
  <si>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</si>
  <si>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</si>
  <si>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</si>
  <si>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</si>
  <si>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</si>
  <si>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</si>
  <si>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</si>
  <si>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</si>
  <si>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</si>
  <si>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</si>
  <si>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</si>
  <si>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</si>
  <si>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</si>
  <si>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</si>
  <si>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</si>
  <si>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</si>
  <si>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</si>
  <si>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</si>
  <si>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</si>
  <si>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</si>
  <si>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</si>
  <si>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</si>
  <si>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</si>
  <si>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</si>
  <si>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</si>
  <si>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</si>
  <si>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</si>
  <si>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</si>
  <si>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</si>
  <si>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</si>
  <si>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</si>
  <si>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</si>
  <si>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</si>
  <si>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</si>
  <si>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</si>
  <si>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</si>
  <si>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</si>
  <si>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</si>
  <si>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</si>
  <si>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</si>
  <si>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</si>
  <si>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</si>
  <si>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</si>
  <si>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</si>
  <si>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</si>
  <si>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</si>
  <si>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</si>
  <si>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Fane 10</t>
  </si>
  <si>
    <t>Korrektion af tidligere godkendte omkostninger til medfinansiering af klimatilpasningsprojekter</t>
  </si>
  <si>
    <t>Engangstillæg til de økonomiske rammer for 2022</t>
  </si>
  <si>
    <t>Engangstillæg til de økonomiske rammer for 2023</t>
  </si>
  <si>
    <t>Tillæg til tilbagebetaling af vejbidrag</t>
  </si>
  <si>
    <t>Fane 4: Ikke-påvirkelige omkostninger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</si>
  <si>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</si>
  <si>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</si>
  <si>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</si>
  <si>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</si>
  <si>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</si>
  <si>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</si>
  <si>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</si>
  <si>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</si>
  <si>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</si>
  <si>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</si>
  <si>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</si>
  <si>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</si>
  <si>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</si>
  <si>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</si>
  <si>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Tillæg til medfinansieringsprojekter godkendt under prisloftsbekendtgørelsen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</si>
  <si>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</si>
  <si>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</si>
  <si>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</si>
  <si>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</si>
  <si>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Korrektion af den økonomiske ramme for 2019</t>
  </si>
  <si>
    <t>Tilknyttet virksomhed</t>
  </si>
  <si>
    <t>Tidligere tilknyttet virksomhed</t>
  </si>
  <si>
    <t>Økonomisk ramme for 2024</t>
  </si>
  <si>
    <t>Tillæg til den økonomiske ramme for 2024</t>
  </si>
  <si>
    <t>Nye tillæg i alt i 2020-prisniveau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</si>
  <si>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</si>
  <si>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</si>
  <si>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</si>
  <si>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</si>
  <si>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</si>
  <si>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</si>
  <si>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</si>
  <si>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</si>
  <si>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</si>
  <si>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</si>
  <si>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</si>
  <si>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</si>
  <si>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</si>
  <si>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</si>
  <si>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</si>
  <si>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</si>
  <si>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</si>
  <si>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</si>
  <si>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Kontrol med overholdelse af den økonomiske ramme</t>
  </si>
  <si>
    <t>Kontrol med overholdelse af økonomiske rammer</t>
  </si>
  <si>
    <t>Samlet økonomisk ramme for 2022</t>
  </si>
  <si>
    <t>Samlet økonomisk ramme for 2023</t>
  </si>
  <si>
    <t>Fane 3</t>
  </si>
  <si>
    <t>Fane 12: Nøgletal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</si>
  <si>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</si>
  <si>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</si>
  <si>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</si>
  <si>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</si>
  <si>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</si>
  <si>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Øvrig korrektion af den økonomiske ramme</t>
  </si>
  <si>
    <t>Fane 2.2: Samlet økonomisk ramme for 2023</t>
  </si>
  <si>
    <t>Videreførte omkostninger fra den økonomiske ramme for 2022</t>
  </si>
  <si>
    <t>Fane 2.3: Samlet økonomisk ramme for 2024</t>
  </si>
  <si>
    <t>Videreførte omkostninger fra den økonomiske ramme for 2024</t>
  </si>
  <si>
    <t>Fane 2.4: Samlet økonomisk ramme for 2025</t>
  </si>
  <si>
    <t>Økonomisk ramme for 2025</t>
  </si>
  <si>
    <t>Fane 3: Videreførte omkostninger fra den økonomiske ramme for 2021</t>
  </si>
  <si>
    <t>Oversigt over den økonomiske ramme for 2021</t>
  </si>
  <si>
    <t xml:space="preserve">Note: Denne opgørelse er taget fra jeres afgørelse for den økonomiske ramme for 2021. I kan derfor ikke komme med høringssvar til denne opgørelse. 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</si>
  <si>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</si>
  <si>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</si>
  <si>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</si>
  <si>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</si>
  <si>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</si>
  <si>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6: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</si>
  <si>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</si>
  <si>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</si>
  <si>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</si>
  <si>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</si>
  <si>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</si>
  <si>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</si>
  <si>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</si>
  <si>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</si>
  <si>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</si>
  <si>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</si>
  <si>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</si>
  <si>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</si>
  <si>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</si>
  <si>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</si>
  <si>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</si>
  <si>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ØR2018-2021</t>
  </si>
  <si>
    <t>Prisudvikling til brug for nye omkostninger i ØR2022</t>
  </si>
  <si>
    <t>Til økonomiske rammer for 2022 og 2023</t>
  </si>
  <si>
    <t>Vejledende økonomisk ramme for 2024</t>
  </si>
  <si>
    <t>- Heraf nye omkostninger i ØR21</t>
  </si>
  <si>
    <t>- Heraf nye omkostninger i ØR22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</si>
  <si>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</si>
  <si>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</si>
  <si>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</si>
  <si>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</si>
  <si>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Prisudvikling til brug for ØR2017-2020</t>
  </si>
  <si>
    <t xml:space="preserve">Vejledende </t>
  </si>
  <si>
    <t>Periodevise driftsomkostninger i alt i 2022-prisniveau</t>
  </si>
  <si>
    <t xml:space="preserve">Korrektion af grundlag </t>
  </si>
  <si>
    <t xml:space="preserve">Korrektion og kontrol med prisloft 2016 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</si>
  <si>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</si>
  <si>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</si>
  <si>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</si>
  <si>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Spildevandsafgift</t>
  </si>
  <si>
    <t>Afgift til Forsyningssekretariatet</t>
  </si>
  <si>
    <t>Ejendomsskat</t>
  </si>
  <si>
    <t>Ingen engangstillæg</t>
  </si>
  <si>
    <t>Ingen bortfald eller nedsættelse</t>
  </si>
  <si>
    <t>Fane 7: Kontrol med overholdelse af den økonomiske ramme for 2020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</si>
  <si>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</si>
  <si>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</si>
  <si>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</si>
  <si>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</si>
  <si>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</si>
  <si>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</si>
  <si>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</si>
  <si>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</si>
  <si>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</si>
  <si>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</si>
  <si>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 og 2023</t>
  </si>
  <si>
    <t>Tillæg/fradrag i den økonomiske ramme for 2022</t>
  </si>
  <si>
    <t>Tillæg/fradrag i den økonomiske ramme for 2023</t>
  </si>
  <si>
    <t>Til indregning i de økonomiske rammer for 2024-2027</t>
  </si>
  <si>
    <t>Kontrol med de økonomiske rammer til indregning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</si>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</sst>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/>
    <xf numFmtId="9" fontId="10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4" fillId="0" borderId="2" xfId="0" applyFont="1" applyFill="1" applyBorder="1" applyAlignment="1" applyProtection="1"/>
    <xf numFmtId="3" fontId="14" fillId="0" borderId="1" xfId="0" applyNumberFormat="1" applyFont="1" applyFill="1" applyBorder="1" applyProtection="1"/>
    <xf numFmtId="0" fontId="14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4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1" fontId="14" fillId="7" borderId="1" xfId="0" applyNumberFormat="1" applyFont="1" applyFill="1" applyBorder="1" applyAlignment="1" applyProtection="1"/>
    <xf numFmtId="1" fontId="8" fillId="0" borderId="1" xfId="0" applyNumberFormat="1" applyFont="1" applyFill="1" applyBorder="1" applyProtection="1"/>
    <xf numFmtId="0" fontId="8" fillId="7" borderId="1" xfId="0" quotePrefix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" fillId="5" borderId="4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148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106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16</v>
      </c>
      <c r="D14" s="60" t="s">
        <v>107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33</v>
      </c>
      <c r="D15" s="60" t="s">
        <v>149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34</v>
      </c>
      <c r="D16" s="60" t="s">
        <v>110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108</v>
      </c>
      <c r="D17" s="60" t="s">
        <v>111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72" t="s">
        <v>12</v>
      </c>
      <c r="E18" s="73"/>
      <c r="F18" s="73"/>
      <c r="G18" s="74"/>
      <c r="H18" s="1"/>
      <c r="I18" s="1"/>
    </row>
    <row r="19" spans="1:9" x14ac:dyDescent="0.25">
      <c r="A19" s="1"/>
      <c r="B19" s="1"/>
      <c r="C19" s="6" t="s">
        <v>8</v>
      </c>
      <c r="D19" s="64" t="s">
        <v>112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70</v>
      </c>
      <c r="D20" s="64" t="s">
        <v>113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41</v>
      </c>
      <c r="D21" s="64" t="s">
        <v>35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71</v>
      </c>
      <c r="D22" s="64" t="s">
        <v>42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72</v>
      </c>
      <c r="D23" s="64" t="s">
        <v>43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55</v>
      </c>
      <c r="D25" s="64" t="s">
        <v>81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73</v>
      </c>
      <c r="D26" s="64" t="s">
        <v>36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15</v>
      </c>
      <c r="D27" s="69" t="s">
        <v>74</v>
      </c>
      <c r="E27" s="70"/>
      <c r="F27" s="70"/>
      <c r="G27" s="7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Ubh8dMl4X6DuZtc9x+OWy9A9Cp2VEk4++UeQs9r1mWe4OAN3QfX8qPFg1A4JeNc7fdn52L0a/o8Xfw0OCM2rg==" saltValue="mZeKlPEE5juDHaGcI5fhoQ==" spinCount="100000" sheet="1" objects="1" scenarios="1"/>
  <customSheetViews>
    <customSheetView guid="{8BCA264E-FE70-4497-B667-7DCB6C5E8A89}" showPageBreaks="1" showGridLines="0" view="pageLayout" topLeftCell="A3">
      <selection activeCell="H11" sqref="H11"/>
      <pageMargins left="0.71875" right="0.7" top="0.75" bottom="0.75" header="0.3" footer="0.3"/>
      <pageSetup paperSize="9" orientation="portrait" r:id="rId1"/>
    </customSheetView>
  </customSheetViews>
  <mergeCells count="18"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1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20'!A1" display="Korrektion af den økonomiske ramme for 2020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101</v>
      </c>
      <c r="C8" s="92"/>
      <c r="D8" s="92"/>
      <c r="E8" s="92"/>
      <c r="F8" s="92"/>
      <c r="G8" s="92"/>
      <c r="H8" s="9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1" t="s">
        <v>2</v>
      </c>
      <c r="F9" s="31" t="s">
        <v>11</v>
      </c>
      <c r="G9" s="31" t="s">
        <v>28</v>
      </c>
      <c r="H9" s="57"/>
      <c r="I9" s="1"/>
    </row>
    <row r="10" spans="1:9" x14ac:dyDescent="0.25">
      <c r="A10" s="1"/>
      <c r="B10" s="55" t="s">
        <v>185</v>
      </c>
      <c r="C10" s="38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91" t="s">
        <v>102</v>
      </c>
      <c r="C11" s="92"/>
      <c r="D11" s="9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96qjRNyAzeqjQdOe8Hw5TPhw5o1QkfKYmasKO2zA3SORmZQr/PK2devvfF41LO66e9Mcq2GVC3m1BtSzTy0nw==" saltValue="WSSDeLXB2NhI9qAwFeXx2w==" spinCount="100000" sheet="1" objects="1" scenarios="1"/>
  <customSheetViews>
    <customSheetView guid="{8BCA264E-FE70-4497-B667-7DCB6C5E8A89}" showPageBreaks="1" showGridLines="0" view="pageLayout">
      <selection activeCell="B9" sqref="B9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66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8" t="s">
        <v>38</v>
      </c>
      <c r="C8" s="22"/>
      <c r="D8" s="22"/>
      <c r="E8" s="22"/>
      <c r="F8" s="59"/>
      <c r="G8" s="1"/>
    </row>
    <row r="9" spans="1:7" ht="17.25" customHeight="1" x14ac:dyDescent="0.25">
      <c r="A9" s="1"/>
      <c r="B9" s="42" t="s">
        <v>17</v>
      </c>
      <c r="C9" s="42" t="s">
        <v>11</v>
      </c>
      <c r="D9" s="43"/>
      <c r="E9" s="42" t="s">
        <v>29</v>
      </c>
      <c r="F9" s="57"/>
      <c r="G9" s="1"/>
    </row>
    <row r="10" spans="1:7" x14ac:dyDescent="0.25">
      <c r="A10" s="1"/>
      <c r="B10" s="20" t="s">
        <v>103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58" t="s">
        <v>85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8" t="s">
        <v>136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R25UWJmHvqkb8M30/mQuZ53fCr1OFrX86TyDZLwU8bIGvoohGPK3zCPQJruds24aDZ/UX1k8He62BboDTH2bcw==" saltValue="5zpOijwP6lZ9l9Rt2WNlcQ==" spinCount="100000" sheet="1" objects="1" scenarios="1"/>
  <customSheetViews>
    <customSheetView guid="{8BCA264E-FE70-4497-B667-7DCB6C5E8A89}" showPageBreaks="1" showGridLines="0" view="pageLayout">
      <selection activeCell="B14" sqref="B14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57</v>
      </c>
      <c r="C8" s="92"/>
      <c r="D8" s="92"/>
      <c r="E8" s="92"/>
      <c r="F8" s="93"/>
      <c r="G8" s="1"/>
    </row>
    <row r="9" spans="1:7" x14ac:dyDescent="0.25">
      <c r="A9" s="1"/>
      <c r="B9" s="42" t="s">
        <v>17</v>
      </c>
      <c r="C9" s="42" t="s">
        <v>11</v>
      </c>
      <c r="D9" s="43"/>
      <c r="E9" s="42" t="s">
        <v>29</v>
      </c>
      <c r="F9" s="57"/>
      <c r="G9" s="1"/>
    </row>
    <row r="10" spans="1:7" x14ac:dyDescent="0.25">
      <c r="A10" s="1"/>
      <c r="B10" s="20" t="s">
        <v>167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25">
      <c r="A11" s="1"/>
      <c r="B11" s="58" t="s">
        <v>137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65</v>
      </c>
      <c r="C12" s="24">
        <f>-C11*'Fane 12. Nøgletal'!C19</f>
        <v>0</v>
      </c>
      <c r="D12" s="25" t="s">
        <v>3</v>
      </c>
      <c r="E12" s="24">
        <f>-E11*'Fane 12. Nøgletal'!C19</f>
        <v>0</v>
      </c>
      <c r="F12" s="25" t="s">
        <v>3</v>
      </c>
      <c r="G12" s="1"/>
    </row>
    <row r="13" spans="1:7" x14ac:dyDescent="0.25">
      <c r="A13" s="1"/>
      <c r="B13" s="58" t="s">
        <v>96</v>
      </c>
      <c r="C13" s="10">
        <f>SUM(C11:C12)*(1+'Fane 12. Nøgletal'!C14)^2</f>
        <v>0</v>
      </c>
      <c r="D13" s="11" t="s">
        <v>3</v>
      </c>
      <c r="E13" s="10">
        <f>SUM(E11:E12)*(1+'Fane 12. Nøgletal'!C14)^2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1" t="s">
        <v>58</v>
      </c>
      <c r="C15" s="92"/>
      <c r="D15" s="92"/>
      <c r="E15" s="92"/>
      <c r="F15" s="93"/>
      <c r="G15" s="1"/>
    </row>
    <row r="16" spans="1:7" x14ac:dyDescent="0.25">
      <c r="A16" s="1"/>
      <c r="B16" s="42" t="s">
        <v>17</v>
      </c>
      <c r="C16" s="42" t="s">
        <v>11</v>
      </c>
      <c r="D16" s="43"/>
      <c r="E16" s="42" t="s">
        <v>29</v>
      </c>
      <c r="F16" s="57"/>
      <c r="G16" s="1"/>
    </row>
    <row r="17" spans="1:7" x14ac:dyDescent="0.25">
      <c r="A17" s="1"/>
      <c r="B17" s="20" t="s">
        <v>167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25">
      <c r="A18" s="1"/>
      <c r="B18" s="58" t="s">
        <v>137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65</v>
      </c>
      <c r="C19" s="24">
        <f>-C18*'Fane 12. Nøgletal'!C19</f>
        <v>0</v>
      </c>
      <c r="D19" s="25" t="s">
        <v>3</v>
      </c>
      <c r="E19" s="24">
        <f>-E18*'Fane 12. Nøgletal'!C19</f>
        <v>0</v>
      </c>
      <c r="F19" s="25" t="s">
        <v>3</v>
      </c>
      <c r="G19" s="1"/>
    </row>
    <row r="20" spans="1:7" x14ac:dyDescent="0.25">
      <c r="A20" s="1"/>
      <c r="B20" s="58" t="s">
        <v>97</v>
      </c>
      <c r="C20" s="10">
        <f>SUM(C18:C19)*(1+'Fane 12. Nøgletal'!C14)^3</f>
        <v>0</v>
      </c>
      <c r="D20" s="11" t="s">
        <v>3</v>
      </c>
      <c r="E20" s="10">
        <f>SUM(E18:E19)*(1+'Fane 12. Nøgletal'!C14)^3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1" t="s">
        <v>98</v>
      </c>
      <c r="C22" s="92"/>
      <c r="D22" s="92"/>
      <c r="E22" s="92"/>
      <c r="F22" s="93"/>
      <c r="G22" s="1"/>
    </row>
    <row r="23" spans="1:7" x14ac:dyDescent="0.25">
      <c r="A23" s="1"/>
      <c r="B23" s="42" t="s">
        <v>17</v>
      </c>
      <c r="C23" s="42" t="s">
        <v>11</v>
      </c>
      <c r="D23" s="43"/>
      <c r="E23" s="42" t="s">
        <v>29</v>
      </c>
      <c r="F23" s="57"/>
      <c r="G23" s="1"/>
    </row>
    <row r="24" spans="1:7" x14ac:dyDescent="0.25">
      <c r="A24" s="1"/>
      <c r="B24" s="20" t="s">
        <v>167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25">
      <c r="A25" s="1"/>
      <c r="B25" s="58" t="s">
        <v>137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65</v>
      </c>
      <c r="C26" s="24">
        <f>-C25*'Fane 12. Nøgletal'!C19</f>
        <v>0</v>
      </c>
      <c r="D26" s="25" t="s">
        <v>3</v>
      </c>
      <c r="E26" s="24">
        <f>-E25*'Fane 12. Nøgletal'!C19</f>
        <v>0</v>
      </c>
      <c r="F26" s="25" t="s">
        <v>3</v>
      </c>
      <c r="G26" s="1"/>
    </row>
    <row r="27" spans="1:7" x14ac:dyDescent="0.25">
      <c r="A27" s="1"/>
      <c r="B27" s="58" t="s">
        <v>99</v>
      </c>
      <c r="C27" s="10">
        <f>SUM(C25:C26)*(1+'Fane 12. Nøgletal'!C14)^4</f>
        <v>0</v>
      </c>
      <c r="D27" s="11" t="s">
        <v>3</v>
      </c>
      <c r="E27" s="10">
        <f>SUM(E25:E26)*(1+'Fane 12. Nøgletal'!C14)^4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1" t="s">
        <v>138</v>
      </c>
      <c r="C29" s="92"/>
      <c r="D29" s="92"/>
      <c r="E29" s="92"/>
      <c r="F29" s="93"/>
      <c r="G29" s="1"/>
    </row>
    <row r="30" spans="1:7" x14ac:dyDescent="0.25">
      <c r="A30" s="1"/>
      <c r="B30" s="42" t="s">
        <v>17</v>
      </c>
      <c r="C30" s="42" t="s">
        <v>11</v>
      </c>
      <c r="D30" s="43"/>
      <c r="E30" s="42" t="s">
        <v>29</v>
      </c>
      <c r="F30" s="57"/>
      <c r="G30" s="1"/>
    </row>
    <row r="31" spans="1:7" x14ac:dyDescent="0.25">
      <c r="A31" s="1"/>
      <c r="B31" s="20" t="s">
        <v>167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25">
      <c r="A32" s="1"/>
      <c r="B32" s="58" t="s">
        <v>137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65</v>
      </c>
      <c r="C33" s="24">
        <f>-C32*'Fane 12. Nøgletal'!C19</f>
        <v>0</v>
      </c>
      <c r="D33" s="25" t="s">
        <v>3</v>
      </c>
      <c r="E33" s="24">
        <f>-E32*'Fane 12. Nøgletal'!C19</f>
        <v>0</v>
      </c>
      <c r="F33" s="25" t="s">
        <v>3</v>
      </c>
      <c r="G33" s="1"/>
    </row>
    <row r="34" spans="1:7" x14ac:dyDescent="0.25">
      <c r="A34" s="1"/>
      <c r="B34" s="58" t="s">
        <v>139</v>
      </c>
      <c r="C34" s="10">
        <f>SUM(C32:C33)*(1+'Fane 12. Nøgletal'!C14)^5</f>
        <v>0</v>
      </c>
      <c r="D34" s="11" t="s">
        <v>3</v>
      </c>
      <c r="E34" s="10">
        <f>SUM(E32:E33)*(1+'Fane 12. Nøgletal'!C14)^5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Df6MN90Wupr2IjTUXuHFgbKMJvH6bFf3h2xcrtIIwoXb3QJhIZgvoZ7rMICDJBUdKlBNQfEoNvjX/iOUzht4A==" saltValue="XNa4N6fGWT7EmIcdh9dcTg==" spinCount="100000" sheet="1" objects="1" scenarios="1"/>
  <customSheetViews>
    <customSheetView guid="{8BCA264E-FE70-4497-B667-7DCB6C5E8A89}" showPageBreaks="1" showGridLines="0" view="pageLayout" topLeftCell="A9">
      <selection activeCell="C42" sqref="C42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77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50</v>
      </c>
      <c r="C8" s="92"/>
      <c r="D8" s="92"/>
      <c r="E8" s="92"/>
      <c r="F8" s="93"/>
      <c r="G8" s="1"/>
    </row>
    <row r="9" spans="1:7" x14ac:dyDescent="0.25">
      <c r="A9" s="1"/>
      <c r="B9" s="109" t="s">
        <v>86</v>
      </c>
      <c r="C9" s="110"/>
      <c r="D9" s="111"/>
      <c r="E9" s="8">
        <v>0</v>
      </c>
      <c r="F9" s="12" t="s">
        <v>3</v>
      </c>
      <c r="G9" s="1"/>
    </row>
    <row r="10" spans="1:7" x14ac:dyDescent="0.25">
      <c r="A10" s="1"/>
      <c r="B10" s="83" t="s">
        <v>65</v>
      </c>
      <c r="C10" s="84"/>
      <c r="D10" s="85"/>
      <c r="E10" s="8">
        <f>-E9*'Fane 12. Nøgletal'!C19</f>
        <v>0</v>
      </c>
      <c r="F10" s="12" t="s">
        <v>3</v>
      </c>
      <c r="G10" s="1"/>
    </row>
    <row r="11" spans="1:7" x14ac:dyDescent="0.25">
      <c r="A11" s="1"/>
      <c r="B11" s="91" t="s">
        <v>158</v>
      </c>
      <c r="C11" s="92"/>
      <c r="D11" s="93"/>
      <c r="E11" s="10">
        <f>SUM(E9:E10)*(1+'Fane 12. Nøgletal'!C13)^3</f>
        <v>0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1" t="s">
        <v>51</v>
      </c>
      <c r="C13" s="92"/>
      <c r="D13" s="92"/>
      <c r="E13" s="92"/>
      <c r="F13" s="93"/>
      <c r="G13" s="1"/>
    </row>
    <row r="14" spans="1:7" x14ac:dyDescent="0.25">
      <c r="A14" s="1"/>
      <c r="B14" s="109" t="s">
        <v>86</v>
      </c>
      <c r="C14" s="110"/>
      <c r="D14" s="111"/>
      <c r="E14" s="8">
        <v>0</v>
      </c>
      <c r="F14" s="12" t="s">
        <v>3</v>
      </c>
      <c r="G14" s="1"/>
    </row>
    <row r="15" spans="1:7" x14ac:dyDescent="0.25">
      <c r="A15" s="1"/>
      <c r="B15" s="83" t="s">
        <v>65</v>
      </c>
      <c r="C15" s="84"/>
      <c r="D15" s="85"/>
      <c r="E15" s="8">
        <f>-E14*'Fane 12. Nøgletal'!C19</f>
        <v>0</v>
      </c>
      <c r="F15" s="12" t="s">
        <v>3</v>
      </c>
      <c r="G15" s="1"/>
    </row>
    <row r="16" spans="1:7" x14ac:dyDescent="0.25">
      <c r="A16" s="1"/>
      <c r="B16" s="91" t="s">
        <v>52</v>
      </c>
      <c r="C16" s="92"/>
      <c r="D16" s="93"/>
      <c r="E16" s="10">
        <f>SUM(E14:E15)*(1+'Fane 12. Nøgletal'!C13)^4</f>
        <v>0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91" t="s">
        <v>87</v>
      </c>
      <c r="C18" s="92"/>
      <c r="D18" s="92"/>
      <c r="E18" s="92"/>
      <c r="F18" s="93"/>
      <c r="G18" s="1"/>
    </row>
    <row r="19" spans="1:7" x14ac:dyDescent="0.25">
      <c r="A19" s="1"/>
      <c r="B19" s="109" t="s">
        <v>140</v>
      </c>
      <c r="C19" s="110"/>
      <c r="D19" s="111"/>
      <c r="E19" s="8">
        <v>0</v>
      </c>
      <c r="F19" s="12" t="s">
        <v>3</v>
      </c>
      <c r="G19" s="1"/>
    </row>
    <row r="20" spans="1:7" x14ac:dyDescent="0.25">
      <c r="A20" s="1"/>
      <c r="B20" s="83" t="s">
        <v>65</v>
      </c>
      <c r="C20" s="84"/>
      <c r="D20" s="85"/>
      <c r="E20" s="8">
        <f>-E19*'Fane 12. Nøgletal'!C19</f>
        <v>0</v>
      </c>
      <c r="F20" s="12" t="s">
        <v>3</v>
      </c>
      <c r="G20" s="1"/>
    </row>
    <row r="21" spans="1:7" x14ac:dyDescent="0.25">
      <c r="A21" s="1"/>
      <c r="B21" s="91" t="s">
        <v>88</v>
      </c>
      <c r="C21" s="92"/>
      <c r="D21" s="93"/>
      <c r="E21" s="10">
        <f>SUM(E19:E20)*(1+'Fane 12. Nøgletal'!C14)^4</f>
        <v>0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1" t="s">
        <v>141</v>
      </c>
      <c r="C23" s="92"/>
      <c r="D23" s="92"/>
      <c r="E23" s="92"/>
      <c r="F23" s="93"/>
      <c r="G23" s="1"/>
    </row>
    <row r="24" spans="1:7" ht="15" customHeight="1" x14ac:dyDescent="0.25">
      <c r="A24" s="1"/>
      <c r="B24" s="109" t="s">
        <v>140</v>
      </c>
      <c r="C24" s="110"/>
      <c r="D24" s="111"/>
      <c r="E24" s="8">
        <v>0</v>
      </c>
      <c r="F24" s="12" t="s">
        <v>3</v>
      </c>
      <c r="G24" s="1"/>
    </row>
    <row r="25" spans="1:7" x14ac:dyDescent="0.25">
      <c r="A25" s="1"/>
      <c r="B25" s="83" t="s">
        <v>65</v>
      </c>
      <c r="C25" s="84"/>
      <c r="D25" s="85"/>
      <c r="E25" s="8">
        <f>-E24*'Fane 12. Nøgletal'!C19</f>
        <v>0</v>
      </c>
      <c r="F25" s="12" t="s">
        <v>3</v>
      </c>
      <c r="G25" s="1"/>
    </row>
    <row r="26" spans="1:7" x14ac:dyDescent="0.25">
      <c r="A26" s="1"/>
      <c r="B26" s="91" t="s">
        <v>142</v>
      </c>
      <c r="C26" s="92"/>
      <c r="D26" s="93"/>
      <c r="E26" s="10">
        <f>SUM(E24:E25)*(1+'Fane 12. Nøgletal'!C14)^5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EwKy3oAe/ueOl8R/V9dzgAlF1QcKg93j1L5bsipAVW+MlaKj2sgbeu15NnswoWOR7aYpkiveCP5Vfm+QKuPmg==" saltValue="vkEl4AvHpYtTV3FuvF4zLQ==" spinCount="100000" sheet="1" objects="1" scenarios="1"/>
  <customSheetViews>
    <customSheetView guid="{8BCA264E-FE70-4497-B667-7DCB6C5E8A89}" showPageBreaks="1" showGridLines="0" view="pageLayout">
      <selection activeCell="B26" sqref="B26:D26"/>
      <pageMargins left="0.7" right="0.7" top="0.75" bottom="0.75" header="0.3" footer="0.3"/>
      <pageSetup paperSize="9" orientation="portrait" r:id="rId1"/>
    </customSheetView>
  </customSheetViews>
  <mergeCells count="17"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  <mergeCell ref="B11:D11"/>
    <mergeCell ref="B10:D10"/>
    <mergeCell ref="B15:D15"/>
    <mergeCell ref="B3:F5"/>
    <mergeCell ref="B8:F8"/>
    <mergeCell ref="B9:D9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89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90</v>
      </c>
      <c r="C8" s="92"/>
      <c r="D8" s="92"/>
      <c r="E8" s="92"/>
      <c r="F8" s="93"/>
      <c r="G8" s="1"/>
    </row>
    <row r="9" spans="1:7" ht="15" customHeight="1" x14ac:dyDescent="0.25">
      <c r="A9" s="1"/>
      <c r="B9" s="56" t="s">
        <v>91</v>
      </c>
      <c r="C9" s="112" t="s">
        <v>11</v>
      </c>
      <c r="D9" s="113"/>
      <c r="E9" s="112" t="s">
        <v>29</v>
      </c>
      <c r="F9" s="113"/>
      <c r="G9" s="1"/>
    </row>
    <row r="10" spans="1:7" x14ac:dyDescent="0.25">
      <c r="A10" s="1"/>
      <c r="B10" s="20" t="s">
        <v>163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92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143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ISQSLAXXoI7aFpLfbEuzDca11uAd3Czb2pAXW672Pavdb6ncDISqPdyZfN/IYA0goVPiOkcTpFq8OdopWqboLQ==" saltValue="HQax/zfN8Pt18Gv9ZbsFog==" spinCount="100000" sheet="1" objects="1" scenarios="1"/>
  <customSheetViews>
    <customSheetView guid="{8BCA264E-FE70-4497-B667-7DCB6C5E8A89}" showPageBreaks="1" showGridLines="0" view="pageLayout">
      <selection activeCell="E40" sqref="E40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69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53</v>
      </c>
      <c r="C8" s="92"/>
      <c r="D8" s="92"/>
      <c r="E8" s="92"/>
      <c r="F8" s="93"/>
      <c r="G8" s="1"/>
    </row>
    <row r="9" spans="1:7" ht="15" customHeight="1" x14ac:dyDescent="0.25">
      <c r="A9" s="1"/>
      <c r="B9" s="56" t="s">
        <v>18</v>
      </c>
      <c r="C9" s="56" t="s">
        <v>11</v>
      </c>
      <c r="D9" s="57"/>
      <c r="E9" s="56" t="s">
        <v>29</v>
      </c>
      <c r="F9" s="57"/>
      <c r="G9" s="1"/>
    </row>
    <row r="10" spans="1:7" x14ac:dyDescent="0.25">
      <c r="A10" s="1"/>
      <c r="B10" s="20" t="s">
        <v>168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58" t="s">
        <v>46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58" t="s">
        <v>47</v>
      </c>
      <c r="C12" s="10">
        <f>C11*(1+'Fane 12. Nøgletal'!C14)</f>
        <v>0</v>
      </c>
      <c r="D12" s="11" t="s">
        <v>3</v>
      </c>
      <c r="E12" s="10">
        <f>E11*(1+'Fane 12. Nøgletal'!C14)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54</v>
      </c>
      <c r="C14" s="92"/>
      <c r="D14" s="92"/>
      <c r="E14" s="92"/>
      <c r="F14" s="93"/>
      <c r="G14" s="1"/>
    </row>
    <row r="15" spans="1:7" ht="26.25" x14ac:dyDescent="0.25">
      <c r="A15" s="1"/>
      <c r="B15" s="56" t="s">
        <v>18</v>
      </c>
      <c r="C15" s="56" t="s">
        <v>11</v>
      </c>
      <c r="D15" s="57"/>
      <c r="E15" s="56" t="s">
        <v>29</v>
      </c>
      <c r="F15" s="57"/>
      <c r="G15" s="1"/>
    </row>
    <row r="16" spans="1:7" x14ac:dyDescent="0.25">
      <c r="A16" s="1"/>
      <c r="B16" s="20" t="s">
        <v>168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58" t="s">
        <v>46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58" t="s">
        <v>48</v>
      </c>
      <c r="C18" s="10">
        <f>C17*(1+'Fane 12. Nøgletal'!C14)^2</f>
        <v>0</v>
      </c>
      <c r="D18" s="11" t="s">
        <v>3</v>
      </c>
      <c r="E18" s="10">
        <f>E17*(1+'Fane 12. Nøgletal'!C14)^2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93</v>
      </c>
      <c r="C20" s="92"/>
      <c r="D20" s="92"/>
      <c r="E20" s="92"/>
      <c r="F20" s="93"/>
      <c r="G20" s="1"/>
    </row>
    <row r="21" spans="1:7" ht="26.25" x14ac:dyDescent="0.25">
      <c r="A21" s="1"/>
      <c r="B21" s="56" t="s">
        <v>18</v>
      </c>
      <c r="C21" s="56" t="s">
        <v>11</v>
      </c>
      <c r="D21" s="57"/>
      <c r="E21" s="56" t="s">
        <v>29</v>
      </c>
      <c r="F21" s="57"/>
      <c r="G21" s="1"/>
    </row>
    <row r="22" spans="1:7" x14ac:dyDescent="0.25">
      <c r="A22" s="1"/>
      <c r="B22" s="20" t="s">
        <v>168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58" t="s">
        <v>46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58" t="s">
        <v>94</v>
      </c>
      <c r="C24" s="10">
        <f>C23*(1+'Fane 12. Nøgletal'!C14)^3</f>
        <v>0</v>
      </c>
      <c r="D24" s="11" t="s">
        <v>3</v>
      </c>
      <c r="E24" s="10">
        <f>E23*(1+'Fane 12. Nøgletal'!C14)^3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144</v>
      </c>
      <c r="C26" s="92"/>
      <c r="D26" s="92"/>
      <c r="E26" s="92"/>
      <c r="F26" s="93"/>
      <c r="G26" s="1"/>
    </row>
    <row r="27" spans="1:7" ht="26.25" x14ac:dyDescent="0.25">
      <c r="A27" s="1"/>
      <c r="B27" s="56" t="s">
        <v>18</v>
      </c>
      <c r="C27" s="56" t="s">
        <v>11</v>
      </c>
      <c r="D27" s="57"/>
      <c r="E27" s="56" t="s">
        <v>29</v>
      </c>
      <c r="F27" s="57"/>
      <c r="G27" s="1"/>
    </row>
    <row r="28" spans="1:7" x14ac:dyDescent="0.25">
      <c r="A28" s="1"/>
      <c r="B28" s="20" t="s">
        <v>168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58" t="s">
        <v>46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58" t="s">
        <v>145</v>
      </c>
      <c r="C30" s="10">
        <f>C29*(1+'Fane 12. Nøgletal'!C14)^4</f>
        <v>0</v>
      </c>
      <c r="D30" s="11" t="s">
        <v>3</v>
      </c>
      <c r="E30" s="10">
        <f>E29*(1+'Fane 12. Nøgletal'!C14)^4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6OX0UkbIy3L0RCLd5Sb1zzz9ZxEDee4JsHp5ybXILLIanOdqhh1a/jaVSdQfXLoLrdpg2Ju0DTaCg/+GucFmwA==" saltValue="vlr3pNNtXbIyb7lkcB8wcA==" spinCount="100000" sheet="1" objects="1" scenarios="1"/>
  <customSheetViews>
    <customSheetView guid="{8BCA264E-FE70-4497-B667-7DCB6C5E8A89}" showPageBreaks="1" showGridLines="0" view="pageLayout" topLeftCell="A5">
      <selection activeCell="B38" sqref="B38"/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109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8" t="s">
        <v>14</v>
      </c>
      <c r="C8" s="59"/>
      <c r="D8" s="1"/>
    </row>
    <row r="9" spans="1:4" x14ac:dyDescent="0.25">
      <c r="A9" s="1"/>
      <c r="B9" s="26" t="s">
        <v>156</v>
      </c>
      <c r="C9" s="21">
        <v>1.2699999999999999E-2</v>
      </c>
      <c r="D9" s="1"/>
    </row>
    <row r="10" spans="1:4" x14ac:dyDescent="0.25">
      <c r="A10" s="1"/>
      <c r="B10" s="26" t="s">
        <v>146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6" t="s">
        <v>37</v>
      </c>
      <c r="C12" s="21">
        <v>1.9699999999999999E-2</v>
      </c>
      <c r="D12" s="1"/>
    </row>
    <row r="13" spans="1:4" x14ac:dyDescent="0.25">
      <c r="A13" s="1"/>
      <c r="B13" s="28" t="s">
        <v>95</v>
      </c>
      <c r="C13" s="29">
        <v>1.32E-2</v>
      </c>
      <c r="D13" s="1"/>
    </row>
    <row r="14" spans="1:4" x14ac:dyDescent="0.25">
      <c r="A14" s="1"/>
      <c r="B14" s="28" t="s">
        <v>147</v>
      </c>
      <c r="C14" s="29">
        <v>3.3E-3</v>
      </c>
      <c r="D14" s="1"/>
    </row>
    <row r="15" spans="1:4" x14ac:dyDescent="0.25">
      <c r="A15" s="1"/>
      <c r="B15" s="58"/>
      <c r="C15" s="59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8" t="s">
        <v>65</v>
      </c>
      <c r="C18" s="59"/>
      <c r="D18" s="1"/>
    </row>
    <row r="19" spans="1:4" x14ac:dyDescent="0.25">
      <c r="A19" s="1"/>
      <c r="B19" s="26" t="s">
        <v>76</v>
      </c>
      <c r="C19" s="21">
        <v>1.7000000000000001E-2</v>
      </c>
      <c r="D19" s="1"/>
    </row>
    <row r="20" spans="1:4" x14ac:dyDescent="0.25">
      <c r="A20" s="1"/>
      <c r="B20" s="114"/>
      <c r="C20" s="115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uV8ugi9pAy7wjXe0AoE5RzLCeBBO76YV/HnN5vw1x33Myij8PoMG+Gb04j29vGo9/c9gMMWv6DBeat/0lmVwdw==" saltValue="bl6pE2Q1E2bHN5HYhzMfhQ==" spinCount="100000" sheet="1" objects="1" scenarios="1"/>
  <customSheetViews>
    <customSheetView guid="{8BCA264E-FE70-4497-B667-7DCB6C5E8A89}" showPageBreaks="1" showGridLines="0" view="pageLayout">
      <selection activeCell="C13" sqref="C13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114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x14ac:dyDescent="0.25">
      <c r="A9" s="1"/>
      <c r="B9" s="41" t="s">
        <v>25</v>
      </c>
      <c r="C9" s="41"/>
      <c r="D9" s="41"/>
      <c r="E9" s="7">
        <f>'Fane 3. Omkostninger i ØR2021'!$E$16</f>
        <v>4399487.0073494278</v>
      </c>
      <c r="F9" s="41" t="s">
        <v>3</v>
      </c>
      <c r="G9" s="1"/>
    </row>
    <row r="10" spans="1:7" x14ac:dyDescent="0.25">
      <c r="A10" s="1"/>
      <c r="B10" s="35" t="s">
        <v>150</v>
      </c>
      <c r="C10" s="41"/>
      <c r="D10" s="41"/>
      <c r="E10" s="7">
        <f>('Fane 3. Omkostninger i ØR2021'!E11+'Fane 3. Omkostninger i ØR2021'!E12)*(1+'Fane 12. Nøgletal'!C13)*(1-'Fane 12. Nøgletal'!C19)</f>
        <v>0</v>
      </c>
      <c r="F10" s="41" t="s">
        <v>3</v>
      </c>
      <c r="G10" s="1"/>
    </row>
    <row r="11" spans="1:7" ht="17.100000000000001" customHeight="1" x14ac:dyDescent="0.25">
      <c r="A11" s="1"/>
      <c r="B11" s="27" t="s">
        <v>78</v>
      </c>
      <c r="C11" s="41"/>
      <c r="D11" s="41"/>
      <c r="E11" s="7">
        <f>'Fane 8.1. Varige tillæg'!C12+'Fane 8.1. Varige tillæg'!E12</f>
        <v>0</v>
      </c>
      <c r="F11" s="41" t="s">
        <v>3</v>
      </c>
      <c r="G11" s="1"/>
    </row>
    <row r="12" spans="1:7" ht="17.100000000000001" customHeight="1" x14ac:dyDescent="0.25">
      <c r="A12" s="1"/>
      <c r="B12" s="27" t="s">
        <v>79</v>
      </c>
      <c r="C12" s="41"/>
      <c r="D12" s="41"/>
      <c r="E12" s="8">
        <f>-('Fane 11. Bortfald'!C12+'Fane 11. Bortfald'!E12)</f>
        <v>0</v>
      </c>
      <c r="F12" s="41" t="s">
        <v>3</v>
      </c>
      <c r="G12" s="1"/>
    </row>
    <row r="13" spans="1:7" ht="17.100000000000001" customHeight="1" x14ac:dyDescent="0.25">
      <c r="A13" s="1"/>
      <c r="B13" s="27" t="s">
        <v>82</v>
      </c>
      <c r="C13" s="41"/>
      <c r="D13" s="41"/>
      <c r="E13" s="8">
        <f>'Fane 10. Tilknyttet virksomhed'!C12+'Fane 10. Tilknyttet virksomhed'!E12</f>
        <v>0</v>
      </c>
      <c r="F13" s="41" t="s">
        <v>3</v>
      </c>
      <c r="G13" s="1"/>
    </row>
    <row r="14" spans="1:7" ht="17.100000000000001" customHeight="1" x14ac:dyDescent="0.25">
      <c r="A14" s="1"/>
      <c r="B14" s="27" t="s">
        <v>19</v>
      </c>
      <c r="C14" s="41"/>
      <c r="D14" s="41"/>
      <c r="E14" s="8">
        <f>E9*'Fane 12. Nøgletal'!C13+SUM(E11:E13)*'Fane 12. Nøgletal'!C14</f>
        <v>58073.228497012446</v>
      </c>
      <c r="F14" s="41" t="s">
        <v>3</v>
      </c>
      <c r="G14" s="1"/>
    </row>
    <row r="15" spans="1:7" ht="17.100000000000001" customHeight="1" x14ac:dyDescent="0.25">
      <c r="A15" s="1"/>
      <c r="B15" s="27" t="s">
        <v>65</v>
      </c>
      <c r="C15" s="41"/>
      <c r="D15" s="41"/>
      <c r="E15" s="8">
        <f>-SUM(E9,E11:E14)*'Fane 12. Nøgletal'!C19</f>
        <v>-75778.524009389497</v>
      </c>
      <c r="F15" s="41" t="s">
        <v>3</v>
      </c>
      <c r="G15" s="1"/>
    </row>
    <row r="16" spans="1:7" ht="15" customHeight="1" x14ac:dyDescent="0.25">
      <c r="A16" s="1"/>
      <c r="B16" s="51" t="s">
        <v>21</v>
      </c>
      <c r="C16" s="44"/>
      <c r="D16" s="44"/>
      <c r="E16" s="9">
        <f>SUM(E9,E11:E15)</f>
        <v>4381781.7118370505</v>
      </c>
      <c r="F16" s="31" t="s">
        <v>3</v>
      </c>
      <c r="G16" s="1"/>
    </row>
    <row r="17" spans="1:7" ht="15" customHeight="1" x14ac:dyDescent="0.25">
      <c r="A17" s="1"/>
      <c r="B17" s="30" t="s">
        <v>12</v>
      </c>
      <c r="C17" s="30"/>
      <c r="D17" s="30"/>
      <c r="E17" s="30"/>
      <c r="F17" s="30"/>
      <c r="G17" s="1"/>
    </row>
    <row r="18" spans="1:7" ht="15" customHeight="1" x14ac:dyDescent="0.25">
      <c r="A18" s="1"/>
      <c r="B18" s="31" t="s">
        <v>12</v>
      </c>
      <c r="C18" s="31"/>
      <c r="D18" s="31"/>
      <c r="E18" s="9">
        <f>'Fane 4. Ikke-påvirkelige omk.'!C14+'Fane 4. Ikke-påvirkelige omk.'!C18+'Fane 4. Ikke-påvirkelige omk.'!C26</f>
        <v>491764.65114615008</v>
      </c>
      <c r="F18" s="31" t="s">
        <v>3</v>
      </c>
      <c r="G18" s="1"/>
    </row>
    <row r="19" spans="1:7" ht="15" customHeight="1" x14ac:dyDescent="0.25">
      <c r="A19" s="1"/>
      <c r="B19" s="30" t="s">
        <v>44</v>
      </c>
      <c r="C19" s="30"/>
      <c r="D19" s="30"/>
      <c r="E19" s="30"/>
      <c r="F19" s="30"/>
      <c r="G19" s="1"/>
    </row>
    <row r="20" spans="1:7" ht="15" customHeight="1" x14ac:dyDescent="0.25">
      <c r="A20" s="1"/>
      <c r="B20" s="51" t="s">
        <v>44</v>
      </c>
      <c r="C20" s="44"/>
      <c r="D20" s="44"/>
      <c r="E20" s="9">
        <f>'Fane 9. Periodevise driftsomk.'!E11</f>
        <v>0</v>
      </c>
      <c r="F20" s="31" t="s">
        <v>3</v>
      </c>
      <c r="G20" s="1"/>
    </row>
    <row r="21" spans="1:7" ht="15" customHeight="1" x14ac:dyDescent="0.25">
      <c r="A21" s="1"/>
      <c r="B21" s="30" t="s">
        <v>43</v>
      </c>
      <c r="C21" s="30"/>
      <c r="D21" s="30"/>
      <c r="E21" s="30"/>
      <c r="F21" s="30"/>
      <c r="G21" s="1"/>
    </row>
    <row r="22" spans="1:7" ht="15" customHeight="1" x14ac:dyDescent="0.25">
      <c r="A22" s="1"/>
      <c r="B22" s="27" t="s">
        <v>39</v>
      </c>
      <c r="C22" s="41"/>
      <c r="D22" s="41"/>
      <c r="E22" s="8">
        <f>'Fane 8.2. Engangstillæg'!C13</f>
        <v>0</v>
      </c>
      <c r="F22" s="41" t="s">
        <v>3</v>
      </c>
      <c r="G22" s="1"/>
    </row>
    <row r="23" spans="1:7" x14ac:dyDescent="0.25">
      <c r="A23" s="1"/>
      <c r="B23" s="27" t="s">
        <v>40</v>
      </c>
      <c r="C23" s="41"/>
      <c r="D23" s="41"/>
      <c r="E23" s="8">
        <f>'Fane 8.2. Engangstillæg'!E13</f>
        <v>0</v>
      </c>
      <c r="F23" s="41" t="s">
        <v>3</v>
      </c>
      <c r="G23" s="1"/>
    </row>
    <row r="24" spans="1:7" ht="15" customHeight="1" x14ac:dyDescent="0.25">
      <c r="A24" s="1"/>
      <c r="B24" s="51" t="s">
        <v>45</v>
      </c>
      <c r="C24" s="44"/>
      <c r="D24" s="44"/>
      <c r="E24" s="9">
        <f>SUM(E22:E23)</f>
        <v>0</v>
      </c>
      <c r="F24" s="31" t="s">
        <v>3</v>
      </c>
      <c r="G24" s="1"/>
    </row>
    <row r="25" spans="1:7" x14ac:dyDescent="0.25">
      <c r="A25" s="1"/>
      <c r="B25" s="30" t="s">
        <v>105</v>
      </c>
      <c r="C25" s="22"/>
      <c r="D25" s="59"/>
      <c r="E25" s="30"/>
      <c r="F25" s="30"/>
      <c r="G25" s="1"/>
    </row>
    <row r="26" spans="1:7" x14ac:dyDescent="0.25">
      <c r="A26" s="1"/>
      <c r="B26" s="51" t="s">
        <v>32</v>
      </c>
      <c r="C26" s="44"/>
      <c r="D26" s="44"/>
      <c r="E26" s="9">
        <v>-278417.53898341232</v>
      </c>
      <c r="F26" s="31" t="s">
        <v>3</v>
      </c>
      <c r="G26" s="1"/>
    </row>
    <row r="27" spans="1:7" x14ac:dyDescent="0.25">
      <c r="A27" s="1"/>
      <c r="B27" s="51" t="s">
        <v>104</v>
      </c>
      <c r="C27" s="44"/>
      <c r="D27" s="44"/>
      <c r="E27" s="9">
        <f>'Fane 5. Kontrol af ØR2020'!E30</f>
        <v>0</v>
      </c>
      <c r="F27" s="31" t="s">
        <v>3</v>
      </c>
      <c r="G27" s="1"/>
    </row>
    <row r="28" spans="1:7" x14ac:dyDescent="0.25">
      <c r="A28" s="1"/>
      <c r="B28" s="30" t="s">
        <v>115</v>
      </c>
      <c r="C28" s="30"/>
      <c r="D28" s="30"/>
      <c r="E28" s="30"/>
      <c r="F28" s="30"/>
      <c r="G28" s="1"/>
    </row>
    <row r="29" spans="1:7" x14ac:dyDescent="0.25">
      <c r="A29" s="1"/>
      <c r="B29" s="31" t="s">
        <v>113</v>
      </c>
      <c r="C29" s="31"/>
      <c r="D29" s="31"/>
      <c r="E29" s="9">
        <f>'Fane 6. Korrektion af ØR2020'!E17</f>
        <v>0</v>
      </c>
      <c r="F29" s="31" t="s">
        <v>3</v>
      </c>
      <c r="G29" s="1"/>
    </row>
    <row r="30" spans="1:7" x14ac:dyDescent="0.25">
      <c r="A30" s="1"/>
      <c r="B30" s="30" t="s">
        <v>161</v>
      </c>
      <c r="C30" s="30" t="s">
        <v>161</v>
      </c>
      <c r="D30" s="30" t="s">
        <v>161</v>
      </c>
      <c r="E30" s="30"/>
      <c r="F30" s="30"/>
      <c r="G30" s="1"/>
    </row>
    <row r="31" spans="1:7" x14ac:dyDescent="0.25">
      <c r="A31" s="1"/>
      <c r="B31" s="51" t="s">
        <v>162</v>
      </c>
      <c r="C31" s="9"/>
      <c r="D31" s="31" t="s">
        <v>3</v>
      </c>
      <c r="E31" s="9">
        <v>0</v>
      </c>
      <c r="F31" s="31" t="s">
        <v>3</v>
      </c>
      <c r="G31" s="1"/>
    </row>
    <row r="32" spans="1:7" x14ac:dyDescent="0.25">
      <c r="A32" s="1"/>
      <c r="B32" s="30" t="s">
        <v>27</v>
      </c>
      <c r="C32" s="30"/>
      <c r="D32" s="30"/>
      <c r="E32" s="10">
        <f>SUM(E16,E18,E20,E24,E26,E27,E29,E31)</f>
        <v>4595128.8239997886</v>
      </c>
      <c r="F32" s="11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tEX0D+m7YscAINoKHfENfYA0KxwoW1d/NExJsDUDaDfc6lKLSsjUmJGiuYponT6VFVeo9n8W4erEWZJQDBE4g==" saltValue="2+P8I6D3yVYwBlttlukalA==" spinCount="100000" sheet="1" objects="1" scenarios="1"/>
  <customSheetViews>
    <customSheetView guid="{8BCA264E-FE70-4497-B667-7DCB6C5E8A89}" showPageBreaks="1" showGridLines="0" hiddenColumns="1" view="pageLayout" topLeftCell="A3">
      <selection activeCell="E13" sqref="E13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/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13</v>
      </c>
      <c r="C8" s="30"/>
      <c r="D8" s="30"/>
      <c r="E8" s="30"/>
      <c r="F8" s="30"/>
      <c r="G8" s="1"/>
    </row>
    <row r="9" spans="1:7" ht="15" customHeight="1" x14ac:dyDescent="0.25">
      <c r="A9" s="1"/>
      <c r="B9" s="41" t="s">
        <v>117</v>
      </c>
      <c r="C9" s="41"/>
      <c r="D9" s="41"/>
      <c r="E9" s="7">
        <f>'Fane 2.1. Økonomisk ramme 2022'!E16</f>
        <v>4381781.7118370505</v>
      </c>
      <c r="F9" s="41" t="s">
        <v>3</v>
      </c>
      <c r="G9" s="1"/>
    </row>
    <row r="10" spans="1:7" ht="15" customHeight="1" x14ac:dyDescent="0.25">
      <c r="A10" s="1"/>
      <c r="B10" s="35" t="s">
        <v>150</v>
      </c>
      <c r="C10" s="41"/>
      <c r="D10" s="41"/>
      <c r="E10" s="7">
        <f>'Fane 2.1. Økonomisk ramme 2022'!E10*(1-'Fane 12. Nøgletal'!C19)*(1+'Fane 12. Nøgletal'!C13)</f>
        <v>0</v>
      </c>
      <c r="F10" s="41" t="s">
        <v>3</v>
      </c>
      <c r="G10" s="1"/>
    </row>
    <row r="11" spans="1:7" ht="15" customHeight="1" x14ac:dyDescent="0.25">
      <c r="A11" s="1"/>
      <c r="B11" s="35" t="s">
        <v>151</v>
      </c>
      <c r="C11" s="41"/>
      <c r="D11" s="41"/>
      <c r="E11" s="7">
        <f>SUM('Fane 2.1. Økonomisk ramme 2022'!E12,'Fane 2.1. Økonomisk ramme 2022'!E11,'Fane 2.1. Økonomisk ramme 2022'!E13)*(1-'Fane 12. Nøgletal'!C19)*(1+'Fane 12. Nøgletal'!C14)</f>
        <v>0</v>
      </c>
      <c r="F11" s="41" t="s">
        <v>3</v>
      </c>
      <c r="G11" s="1"/>
    </row>
    <row r="12" spans="1:7" ht="15" customHeight="1" x14ac:dyDescent="0.25">
      <c r="A12" s="1"/>
      <c r="B12" s="27" t="s">
        <v>79</v>
      </c>
      <c r="C12" s="41"/>
      <c r="D12" s="41"/>
      <c r="E12" s="7">
        <f>-('Fane 11. Bortfald'!C18+'Fane 11. Bortfald'!E18)</f>
        <v>0</v>
      </c>
      <c r="F12" s="41" t="s">
        <v>3</v>
      </c>
      <c r="G12" s="1"/>
    </row>
    <row r="13" spans="1:7" ht="15" customHeight="1" x14ac:dyDescent="0.25">
      <c r="A13" s="1"/>
      <c r="B13" s="39" t="s">
        <v>19</v>
      </c>
      <c r="C13" s="41"/>
      <c r="D13" s="41"/>
      <c r="E13" s="8">
        <f>(E9-E11)*'Fane 12. Nøgletal'!C13+SUM(E11:E12)*'Fane 12. Nøgletal'!C14</f>
        <v>57839.518596249065</v>
      </c>
      <c r="F13" s="41" t="s">
        <v>3</v>
      </c>
      <c r="G13" s="1"/>
    </row>
    <row r="14" spans="1:7" ht="15" customHeight="1" x14ac:dyDescent="0.25">
      <c r="A14" s="1"/>
      <c r="B14" s="39" t="s">
        <v>65</v>
      </c>
      <c r="C14" s="41"/>
      <c r="D14" s="41"/>
      <c r="E14" s="8">
        <f>-SUM(E9,E12:E13)*'Fane 12. Nøgletal'!C19</f>
        <v>-75473.560917366092</v>
      </c>
      <c r="F14" s="41" t="s">
        <v>3</v>
      </c>
      <c r="G14" s="1"/>
    </row>
    <row r="15" spans="1:7" ht="15" customHeight="1" x14ac:dyDescent="0.25">
      <c r="A15" s="1"/>
      <c r="B15" s="44" t="s">
        <v>21</v>
      </c>
      <c r="C15" s="44"/>
      <c r="D15" s="44"/>
      <c r="E15" s="9">
        <f>SUM(E9,E12:E14)</f>
        <v>4364147.6695159329</v>
      </c>
      <c r="F15" s="31" t="s">
        <v>3</v>
      </c>
      <c r="G15" s="1"/>
    </row>
    <row r="16" spans="1:7" x14ac:dyDescent="0.25">
      <c r="A16" s="1"/>
      <c r="B16" s="30" t="s">
        <v>12</v>
      </c>
      <c r="C16" s="30"/>
      <c r="D16" s="30"/>
      <c r="E16" s="30"/>
      <c r="F16" s="30"/>
      <c r="G16" s="1"/>
    </row>
    <row r="17" spans="1:7" ht="15" customHeight="1" x14ac:dyDescent="0.25">
      <c r="A17" s="1"/>
      <c r="B17" s="31" t="s">
        <v>12</v>
      </c>
      <c r="C17" s="31"/>
      <c r="D17" s="31"/>
      <c r="E17" s="9">
        <f>'Fane 4. Ikke-påvirkelige omk.'!C14*(1+'Fane 12. Nøgletal'!C14)+'Fane 4. Ikke-påvirkelige omk.'!C19+'Fane 4. Ikke-påvirkelige omk.'!C27</f>
        <v>493387.47449493239</v>
      </c>
      <c r="F17" s="31" t="s">
        <v>3</v>
      </c>
      <c r="G17" s="1"/>
    </row>
    <row r="18" spans="1:7" ht="15" customHeight="1" x14ac:dyDescent="0.25">
      <c r="A18" s="1"/>
      <c r="B18" s="30" t="s">
        <v>44</v>
      </c>
      <c r="C18" s="30"/>
      <c r="D18" s="30"/>
      <c r="E18" s="30"/>
      <c r="F18" s="30"/>
      <c r="G18" s="1"/>
    </row>
    <row r="19" spans="1:7" ht="15" customHeight="1" x14ac:dyDescent="0.25">
      <c r="A19" s="1"/>
      <c r="B19" s="51" t="s">
        <v>44</v>
      </c>
      <c r="C19" s="44"/>
      <c r="D19" s="44"/>
      <c r="E19" s="9">
        <f>'Fane 9. Periodevise driftsomk.'!E16</f>
        <v>0</v>
      </c>
      <c r="F19" s="31" t="s">
        <v>3</v>
      </c>
      <c r="G19" s="1"/>
    </row>
    <row r="20" spans="1:7" ht="15" customHeight="1" x14ac:dyDescent="0.25">
      <c r="A20" s="1"/>
      <c r="B20" s="30" t="s">
        <v>43</v>
      </c>
      <c r="C20" s="30"/>
      <c r="D20" s="30"/>
      <c r="E20" s="30"/>
      <c r="F20" s="30"/>
      <c r="G20" s="1"/>
    </row>
    <row r="21" spans="1:7" ht="15" customHeight="1" x14ac:dyDescent="0.25">
      <c r="A21" s="1"/>
      <c r="B21" s="27" t="s">
        <v>39</v>
      </c>
      <c r="C21" s="41"/>
      <c r="D21" s="41"/>
      <c r="E21" s="8">
        <f>'Fane 8.2. Engangstillæg'!C20</f>
        <v>0</v>
      </c>
      <c r="F21" s="41" t="s">
        <v>3</v>
      </c>
      <c r="G21" s="1"/>
    </row>
    <row r="22" spans="1:7" ht="15" customHeight="1" x14ac:dyDescent="0.25">
      <c r="A22" s="1"/>
      <c r="B22" s="27" t="s">
        <v>40</v>
      </c>
      <c r="C22" s="41"/>
      <c r="D22" s="41"/>
      <c r="E22" s="8">
        <f>'Fane 8.2. Engangstillæg'!E20</f>
        <v>0</v>
      </c>
      <c r="F22" s="41" t="s">
        <v>3</v>
      </c>
      <c r="G22" s="1"/>
    </row>
    <row r="23" spans="1:7" ht="15" customHeight="1" x14ac:dyDescent="0.25">
      <c r="A23" s="1"/>
      <c r="B23" s="51" t="s">
        <v>45</v>
      </c>
      <c r="C23" s="44"/>
      <c r="D23" s="44"/>
      <c r="E23" s="9">
        <f>SUM(E21:E22)</f>
        <v>0</v>
      </c>
      <c r="F23" s="31" t="s">
        <v>3</v>
      </c>
      <c r="G23" s="1"/>
    </row>
    <row r="24" spans="1:7" x14ac:dyDescent="0.25">
      <c r="A24" s="1"/>
      <c r="B24" s="30" t="s">
        <v>105</v>
      </c>
      <c r="C24" s="22"/>
      <c r="D24" s="59"/>
      <c r="E24" s="30"/>
      <c r="F24" s="30"/>
      <c r="G24" s="1"/>
    </row>
    <row r="25" spans="1:7" ht="15" customHeight="1" x14ac:dyDescent="0.25">
      <c r="A25" s="1"/>
      <c r="B25" s="51" t="s">
        <v>32</v>
      </c>
      <c r="C25" s="44"/>
      <c r="D25" s="44"/>
      <c r="E25" s="9">
        <v>-278417.53898341232</v>
      </c>
      <c r="F25" s="31" t="s">
        <v>3</v>
      </c>
      <c r="G25" s="1"/>
    </row>
    <row r="26" spans="1:7" x14ac:dyDescent="0.25">
      <c r="A26" s="1"/>
      <c r="B26" s="51" t="s">
        <v>104</v>
      </c>
      <c r="C26" s="44"/>
      <c r="D26" s="44"/>
      <c r="E26" s="9">
        <f>'Fane 5. Kontrol af ØR2020'!E31</f>
        <v>0</v>
      </c>
      <c r="F26" s="31" t="s">
        <v>3</v>
      </c>
      <c r="G26" s="1"/>
    </row>
    <row r="27" spans="1:7" x14ac:dyDescent="0.25">
      <c r="A27" s="1"/>
      <c r="B27" s="30" t="s">
        <v>161</v>
      </c>
      <c r="C27" s="30" t="s">
        <v>161</v>
      </c>
      <c r="D27" s="30" t="s">
        <v>161</v>
      </c>
      <c r="E27" s="30"/>
      <c r="F27" s="30"/>
      <c r="G27" s="1"/>
    </row>
    <row r="28" spans="1:7" x14ac:dyDescent="0.25">
      <c r="A28" s="1"/>
      <c r="B28" s="51" t="s">
        <v>162</v>
      </c>
      <c r="C28" s="9"/>
      <c r="D28" s="31" t="s">
        <v>3</v>
      </c>
      <c r="E28" s="9">
        <v>0</v>
      </c>
      <c r="F28" s="31" t="s">
        <v>3</v>
      </c>
      <c r="G28" s="1"/>
    </row>
    <row r="29" spans="1:7" x14ac:dyDescent="0.25">
      <c r="A29" s="1"/>
      <c r="B29" s="30" t="s">
        <v>49</v>
      </c>
      <c r="C29" s="30"/>
      <c r="D29" s="30"/>
      <c r="E29" s="10">
        <f>SUM(E15,E17,E19,E23,E25,E26,E28)</f>
        <v>4579117.605027453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bMI2zTZ1b8p+aIeuD1QTlOq5MSzlXn5/BgSph9OM0XVESTGXt3UM41e51nxdHtv31BFbh9H3oSporklwZgEyJg==" saltValue="vT4aWI9LjwlCcMyJ0RiGiw==" spinCount="100000" sheet="1" objects="1" scenarios="1"/>
  <customSheetViews>
    <customSheetView guid="{8BCA264E-FE70-4497-B667-7DCB6C5E8A89}" showPageBreaks="1" showGridLines="0" hiddenColumns="1" view="pageLayout">
      <selection activeCell="E17" sqref="E17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118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157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1" t="s">
        <v>119</v>
      </c>
      <c r="C8" s="41"/>
      <c r="D8" s="41"/>
      <c r="E8" s="7">
        <f>'Fane 2.2. Økonomisk ramme 2023'!E15</f>
        <v>4364147.6695159329</v>
      </c>
      <c r="F8" s="41" t="s">
        <v>3</v>
      </c>
      <c r="G8" s="1"/>
    </row>
    <row r="9" spans="1:7" ht="15" customHeight="1" x14ac:dyDescent="0.25">
      <c r="A9" s="1"/>
      <c r="B9" s="41" t="s">
        <v>79</v>
      </c>
      <c r="C9" s="41"/>
      <c r="D9" s="41"/>
      <c r="E9" s="7">
        <f>-('Fane 11. Bortfald'!C24+'Fane 11. Bortfald'!E24)</f>
        <v>0</v>
      </c>
      <c r="F9" s="41" t="s">
        <v>3</v>
      </c>
      <c r="G9" s="1"/>
    </row>
    <row r="10" spans="1:7" ht="15" customHeight="1" x14ac:dyDescent="0.25">
      <c r="A10" s="1"/>
      <c r="B10" s="39" t="s">
        <v>19</v>
      </c>
      <c r="C10" s="41"/>
      <c r="D10" s="41"/>
      <c r="E10" s="8">
        <f>SUM(E8:E9)*'Fane 12. Nøgletal'!C14</f>
        <v>14401.687309402578</v>
      </c>
      <c r="F10" s="41" t="s">
        <v>3</v>
      </c>
      <c r="G10" s="1"/>
    </row>
    <row r="11" spans="1:7" x14ac:dyDescent="0.25">
      <c r="A11" s="1"/>
      <c r="B11" s="39" t="s">
        <v>65</v>
      </c>
      <c r="C11" s="41"/>
      <c r="D11" s="41"/>
      <c r="E11" s="8">
        <f>-SUM(E8:E10)*'Fane 12. Nøgletal'!C19</f>
        <v>-74435.33906603072</v>
      </c>
      <c r="F11" s="41" t="s">
        <v>3</v>
      </c>
      <c r="G11" s="1"/>
    </row>
    <row r="12" spans="1:7" x14ac:dyDescent="0.25">
      <c r="A12" s="1"/>
      <c r="B12" s="44" t="s">
        <v>21</v>
      </c>
      <c r="C12" s="44"/>
      <c r="D12" s="44"/>
      <c r="E12" s="9">
        <f>SUM(E8:E11)</f>
        <v>4304114.0177593054</v>
      </c>
      <c r="F12" s="31" t="s">
        <v>3</v>
      </c>
      <c r="G12" s="1"/>
    </row>
    <row r="13" spans="1:7" ht="15" customHeight="1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Nøgletal'!C14)^2+'Fane 4. Ikke-påvirkelige omk.'!C20+'Fane 4. Ikke-påvirkelige omk.'!C28</f>
        <v>495015.65316076571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1" t="s">
        <v>44</v>
      </c>
      <c r="C16" s="44"/>
      <c r="D16" s="44"/>
      <c r="E16" s="9">
        <f>'Fane 9. Periodevise driftsomk.'!E21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1"/>
      <c r="D18" s="41"/>
      <c r="E18" s="8">
        <f>'Fane 8.2. Engangstillæg'!C27</f>
        <v>0</v>
      </c>
      <c r="F18" s="41" t="s">
        <v>3</v>
      </c>
      <c r="G18" s="1"/>
    </row>
    <row r="19" spans="1:7" ht="15" customHeight="1" x14ac:dyDescent="0.25">
      <c r="A19" s="1"/>
      <c r="B19" s="27" t="s">
        <v>40</v>
      </c>
      <c r="C19" s="41"/>
      <c r="D19" s="41"/>
      <c r="E19" s="8">
        <f>'Fane 8.2. Engangstillæg'!E27</f>
        <v>0</v>
      </c>
      <c r="F19" s="41" t="s">
        <v>3</v>
      </c>
      <c r="G19" s="1"/>
    </row>
    <row r="20" spans="1:7" ht="15" customHeight="1" x14ac:dyDescent="0.25">
      <c r="A20" s="1"/>
      <c r="B20" s="51" t="s">
        <v>45</v>
      </c>
      <c r="C20" s="44"/>
      <c r="D20" s="44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x14ac:dyDescent="0.25">
      <c r="A24" s="1"/>
      <c r="B24" s="51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83</v>
      </c>
      <c r="C25" s="30"/>
      <c r="D25" s="30"/>
      <c r="E25" s="10">
        <f>SUM(E12,E14,E16,E20,E22,E24)</f>
        <v>4799129.6709200712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</sheetData>
  <sheetProtection algorithmName="SHA-512" hashValue="5yAn1xSpcQiNVoFQDj/LjcBBfLA00zMO4RlUx6Zxt4k28vLEFeq/Yc06JNaYBq/22e8hGSrLEqffMXSdZANGJw==" saltValue="3aJAEzxxx0uL3VqawjSjBg==" spinCount="100000" sheet="1" objects="1" scenarios="1"/>
  <customSheetViews>
    <customSheetView guid="{8BCA264E-FE70-4497-B667-7DCB6C5E8A89}" showPageBreaks="1" showGridLines="0" hiddenColumns="1" view="pageLayout">
      <selection activeCell="E11" sqref="E1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120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6" t="s">
        <v>22</v>
      </c>
      <c r="C5" s="76"/>
      <c r="D5" s="76"/>
      <c r="E5" s="76"/>
      <c r="F5" s="7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0" t="s">
        <v>13</v>
      </c>
      <c r="C7" s="30"/>
      <c r="D7" s="30"/>
      <c r="E7" s="30"/>
      <c r="F7" s="30"/>
      <c r="G7" s="1"/>
    </row>
    <row r="8" spans="1:7" ht="15" customHeight="1" x14ac:dyDescent="0.25">
      <c r="A8" s="1"/>
      <c r="B8" s="41" t="s">
        <v>119</v>
      </c>
      <c r="C8" s="41"/>
      <c r="D8" s="41"/>
      <c r="E8" s="7">
        <f>'Fane 2.3. Økonomisk ramme 2024'!E12</f>
        <v>4304114.0177593054</v>
      </c>
      <c r="F8" s="41" t="s">
        <v>3</v>
      </c>
      <c r="G8" s="1"/>
    </row>
    <row r="9" spans="1:7" ht="15" customHeight="1" x14ac:dyDescent="0.25">
      <c r="A9" s="1"/>
      <c r="B9" s="41" t="s">
        <v>79</v>
      </c>
      <c r="C9" s="41"/>
      <c r="D9" s="41"/>
      <c r="E9" s="7">
        <f>-('Fane 11. Bortfald'!C30+'Fane 11. Bortfald'!E30)</f>
        <v>0</v>
      </c>
      <c r="F9" s="41" t="s">
        <v>3</v>
      </c>
      <c r="G9" s="1"/>
    </row>
    <row r="10" spans="1:7" ht="15" customHeight="1" x14ac:dyDescent="0.25">
      <c r="A10" s="1"/>
      <c r="B10" s="39" t="s">
        <v>19</v>
      </c>
      <c r="C10" s="41"/>
      <c r="D10" s="41"/>
      <c r="E10" s="8">
        <f>SUM(E8:E9)*'Fane 12. Nøgletal'!C14</f>
        <v>14203.576258605708</v>
      </c>
      <c r="F10" s="41" t="s">
        <v>3</v>
      </c>
      <c r="G10" s="1"/>
    </row>
    <row r="11" spans="1:7" ht="15" customHeight="1" x14ac:dyDescent="0.25">
      <c r="A11" s="1"/>
      <c r="B11" s="39" t="s">
        <v>65</v>
      </c>
      <c r="C11" s="41"/>
      <c r="D11" s="41"/>
      <c r="E11" s="8">
        <f>-SUM(E8:E10)*'Fane 12. Nøgletal'!C19</f>
        <v>-73411.399098304493</v>
      </c>
      <c r="F11" s="41" t="s">
        <v>3</v>
      </c>
      <c r="G11" s="1"/>
    </row>
    <row r="12" spans="1:7" x14ac:dyDescent="0.25">
      <c r="A12" s="1"/>
      <c r="B12" s="44" t="s">
        <v>21</v>
      </c>
      <c r="C12" s="44"/>
      <c r="D12" s="44"/>
      <c r="E12" s="9">
        <f>SUM(E8:E11)</f>
        <v>4244906.1949196067</v>
      </c>
      <c r="F12" s="31" t="s">
        <v>3</v>
      </c>
      <c r="G12" s="1"/>
    </row>
    <row r="13" spans="1:7" x14ac:dyDescent="0.25">
      <c r="A13" s="1"/>
      <c r="B13" s="30" t="s">
        <v>12</v>
      </c>
      <c r="C13" s="30"/>
      <c r="D13" s="30"/>
      <c r="E13" s="30"/>
      <c r="F13" s="30"/>
      <c r="G13" s="1"/>
    </row>
    <row r="14" spans="1:7" ht="15" customHeight="1" x14ac:dyDescent="0.25">
      <c r="A14" s="1"/>
      <c r="B14" s="31" t="s">
        <v>12</v>
      </c>
      <c r="C14" s="31"/>
      <c r="D14" s="31"/>
      <c r="E14" s="9">
        <f>'Fane 4. Ikke-påvirkelige omk.'!C14*(1+'Fane 12. Nøgletal'!C14)^3+'Fane 4. Ikke-påvirkelige omk.'!C21+'Fane 4. Ikke-påvirkelige omk.'!C29</f>
        <v>496649.20481619629</v>
      </c>
      <c r="F14" s="31" t="s">
        <v>3</v>
      </c>
      <c r="G14" s="1"/>
    </row>
    <row r="15" spans="1:7" ht="15" customHeight="1" x14ac:dyDescent="0.25">
      <c r="A15" s="1"/>
      <c r="B15" s="30" t="s">
        <v>44</v>
      </c>
      <c r="C15" s="30"/>
      <c r="D15" s="30"/>
      <c r="E15" s="30"/>
      <c r="F15" s="30"/>
      <c r="G15" s="1"/>
    </row>
    <row r="16" spans="1:7" ht="15" customHeight="1" x14ac:dyDescent="0.25">
      <c r="A16" s="1"/>
      <c r="B16" s="51" t="s">
        <v>44</v>
      </c>
      <c r="C16" s="44"/>
      <c r="D16" s="44"/>
      <c r="E16" s="9">
        <f>'Fane 9. Periodevise driftsomk.'!E26</f>
        <v>0</v>
      </c>
      <c r="F16" s="31" t="s">
        <v>3</v>
      </c>
      <c r="G16" s="1"/>
    </row>
    <row r="17" spans="1:7" ht="15" customHeight="1" x14ac:dyDescent="0.25">
      <c r="A17" s="1"/>
      <c r="B17" s="30" t="s">
        <v>43</v>
      </c>
      <c r="C17" s="30"/>
      <c r="D17" s="30"/>
      <c r="E17" s="30"/>
      <c r="F17" s="30"/>
      <c r="G17" s="1"/>
    </row>
    <row r="18" spans="1:7" ht="15" customHeight="1" x14ac:dyDescent="0.25">
      <c r="A18" s="1"/>
      <c r="B18" s="27" t="s">
        <v>39</v>
      </c>
      <c r="C18" s="41"/>
      <c r="D18" s="41"/>
      <c r="E18" s="8">
        <f>'Fane 8.2. Engangstillæg'!C34</f>
        <v>0</v>
      </c>
      <c r="F18" s="41" t="s">
        <v>3</v>
      </c>
      <c r="G18" s="1"/>
    </row>
    <row r="19" spans="1:7" ht="15" customHeight="1" x14ac:dyDescent="0.25">
      <c r="A19" s="1"/>
      <c r="B19" s="27" t="s">
        <v>40</v>
      </c>
      <c r="C19" s="41"/>
      <c r="D19" s="41"/>
      <c r="E19" s="8">
        <f>'Fane 8.2. Engangstillæg'!E34</f>
        <v>0</v>
      </c>
      <c r="F19" s="41" t="s">
        <v>3</v>
      </c>
      <c r="G19" s="1"/>
    </row>
    <row r="20" spans="1:7" ht="15" customHeight="1" x14ac:dyDescent="0.25">
      <c r="A20" s="1"/>
      <c r="B20" s="51" t="s">
        <v>45</v>
      </c>
      <c r="C20" s="44"/>
      <c r="D20" s="44"/>
      <c r="E20" s="9">
        <f>SUM(E18:E19)</f>
        <v>0</v>
      </c>
      <c r="F20" s="31" t="s">
        <v>3</v>
      </c>
      <c r="G20" s="1"/>
    </row>
    <row r="21" spans="1:7" x14ac:dyDescent="0.25">
      <c r="A21" s="1"/>
      <c r="B21" s="30" t="s">
        <v>105</v>
      </c>
      <c r="C21" s="30"/>
      <c r="D21" s="30"/>
      <c r="E21" s="30"/>
      <c r="F21" s="30"/>
      <c r="G21" s="1"/>
    </row>
    <row r="22" spans="1:7" x14ac:dyDescent="0.25">
      <c r="A22" s="1"/>
      <c r="B22" s="31" t="s">
        <v>104</v>
      </c>
      <c r="C22" s="31"/>
      <c r="D22" s="31"/>
      <c r="E22" s="9">
        <f>'Fane 5. Kontrol af ØR2020'!E37</f>
        <v>0</v>
      </c>
      <c r="F22" s="31" t="s">
        <v>3</v>
      </c>
      <c r="G22" s="1"/>
    </row>
    <row r="23" spans="1:7" ht="15" customHeight="1" x14ac:dyDescent="0.25">
      <c r="A23" s="1"/>
      <c r="B23" s="30" t="s">
        <v>161</v>
      </c>
      <c r="C23" s="30" t="s">
        <v>161</v>
      </c>
      <c r="D23" s="30" t="s">
        <v>161</v>
      </c>
      <c r="E23" s="30"/>
      <c r="F23" s="30"/>
      <c r="G23" s="1"/>
    </row>
    <row r="24" spans="1:7" ht="15" customHeight="1" x14ac:dyDescent="0.25">
      <c r="A24" s="1"/>
      <c r="B24" s="51" t="s">
        <v>162</v>
      </c>
      <c r="C24" s="9"/>
      <c r="D24" s="31" t="s">
        <v>3</v>
      </c>
      <c r="E24" s="9">
        <v>0</v>
      </c>
      <c r="F24" s="31" t="s">
        <v>3</v>
      </c>
      <c r="G24" s="1"/>
    </row>
    <row r="25" spans="1:7" x14ac:dyDescent="0.25">
      <c r="A25" s="1"/>
      <c r="B25" s="30" t="s">
        <v>121</v>
      </c>
      <c r="C25" s="30"/>
      <c r="D25" s="30"/>
      <c r="E25" s="10">
        <f>SUM(E12,E14,E16,E20,E22,E24)</f>
        <v>4741555.3997358028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B52" s="1"/>
      <c r="C52" s="1"/>
      <c r="D52" s="1"/>
      <c r="E52" s="1"/>
      <c r="F52" s="1"/>
    </row>
    <row r="53" spans="1:7" x14ac:dyDescent="0.25">
      <c r="B53" s="1"/>
      <c r="C53" s="1"/>
      <c r="D53" s="1"/>
      <c r="E53" s="1"/>
      <c r="F53" s="1"/>
    </row>
  </sheetData>
  <sheetProtection algorithmName="SHA-512" hashValue="PcwBAhnKVW13WF5cuUWGeY50Nt2ICviIofOGdE9zd/vCMI+Qj+E3HarXdU4N+Mb5YNhStzGRQgk/uogzqxoLwQ==" saltValue="Ri3nlTiP86rIRMF/YVWEjQ==" spinCount="100000" sheet="1" objects="1" scenarios="1"/>
  <customSheetViews>
    <customSheetView guid="{8BCA264E-FE70-4497-B667-7DCB6C5E8A89}" showPageBreaks="1" showGridLines="0" hiddenColumns="1" view="pageLayout">
      <selection activeCell="E21" sqref="E21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3" width="9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122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0" t="s">
        <v>123</v>
      </c>
      <c r="C8" s="30"/>
      <c r="D8" s="30"/>
      <c r="E8" s="30"/>
      <c r="F8" s="30"/>
      <c r="G8" s="1"/>
    </row>
    <row r="9" spans="1:7" x14ac:dyDescent="0.25">
      <c r="A9" s="1"/>
      <c r="B9" s="90" t="s">
        <v>24</v>
      </c>
      <c r="C9" s="90"/>
      <c r="D9" s="90"/>
      <c r="E9" s="7">
        <v>4598602.6685429458</v>
      </c>
      <c r="F9" s="41" t="s">
        <v>3</v>
      </c>
      <c r="G9" s="1"/>
    </row>
    <row r="10" spans="1:7" x14ac:dyDescent="0.25">
      <c r="A10" s="1"/>
      <c r="B10" s="81" t="s">
        <v>159</v>
      </c>
      <c r="C10" s="81"/>
      <c r="D10" s="81"/>
      <c r="E10" s="7">
        <v>-181338.82457987181</v>
      </c>
      <c r="F10" s="41" t="s">
        <v>3</v>
      </c>
      <c r="G10" s="1"/>
    </row>
    <row r="11" spans="1:7" x14ac:dyDescent="0.25">
      <c r="A11" s="1"/>
      <c r="B11" s="81" t="s">
        <v>78</v>
      </c>
      <c r="C11" s="81"/>
      <c r="D11" s="81"/>
      <c r="E11" s="7">
        <v>0</v>
      </c>
      <c r="F11" s="41" t="s">
        <v>3</v>
      </c>
      <c r="G11" s="1"/>
    </row>
    <row r="12" spans="1:7" x14ac:dyDescent="0.25">
      <c r="A12" s="1"/>
      <c r="B12" s="81" t="s">
        <v>79</v>
      </c>
      <c r="C12" s="81"/>
      <c r="D12" s="81"/>
      <c r="E12" s="8">
        <v>0</v>
      </c>
      <c r="F12" s="41" t="s">
        <v>3</v>
      </c>
      <c r="G12" s="1"/>
    </row>
    <row r="13" spans="1:7" x14ac:dyDescent="0.25">
      <c r="A13" s="1"/>
      <c r="B13" s="81" t="s">
        <v>82</v>
      </c>
      <c r="C13" s="81"/>
      <c r="D13" s="81"/>
      <c r="E13" s="8">
        <v>0</v>
      </c>
      <c r="F13" s="41" t="s">
        <v>3</v>
      </c>
      <c r="G13" s="1"/>
    </row>
    <row r="14" spans="1:7" x14ac:dyDescent="0.25">
      <c r="A14" s="1"/>
      <c r="B14" s="81" t="s">
        <v>19</v>
      </c>
      <c r="C14" s="81"/>
      <c r="D14" s="81"/>
      <c r="E14" s="8">
        <f>SUM(E9:E12)*'Fane 12. Nøgletal'!C13</f>
        <v>58307.882740312569</v>
      </c>
      <c r="F14" s="41" t="s">
        <v>3</v>
      </c>
      <c r="G14" s="1"/>
    </row>
    <row r="15" spans="1:7" x14ac:dyDescent="0.25">
      <c r="A15" s="1"/>
      <c r="B15" s="81" t="s">
        <v>65</v>
      </c>
      <c r="C15" s="81"/>
      <c r="D15" s="81"/>
      <c r="E15" s="8">
        <f>-SUM(E9:E14)*'Fane 12. Nøgletal'!C19</f>
        <v>-76084.719353957567</v>
      </c>
      <c r="F15" s="41" t="s">
        <v>3</v>
      </c>
      <c r="G15" s="1"/>
    </row>
    <row r="16" spans="1:7" x14ac:dyDescent="0.25">
      <c r="A16" s="1"/>
      <c r="B16" s="82" t="s">
        <v>21</v>
      </c>
      <c r="C16" s="82"/>
      <c r="D16" s="82"/>
      <c r="E16" s="9">
        <f>SUM(E9:E15)</f>
        <v>4399487.0073494278</v>
      </c>
      <c r="F16" s="31" t="s">
        <v>3</v>
      </c>
      <c r="G16" s="1"/>
    </row>
    <row r="17" spans="1:7" x14ac:dyDescent="0.25">
      <c r="A17" s="1"/>
      <c r="B17" s="30" t="s">
        <v>12</v>
      </c>
      <c r="C17" s="22"/>
      <c r="D17" s="22"/>
      <c r="E17" s="22"/>
      <c r="F17" s="59"/>
      <c r="G17" s="1"/>
    </row>
    <row r="18" spans="1:7" ht="14.25" customHeight="1" x14ac:dyDescent="0.25">
      <c r="A18" s="1"/>
      <c r="B18" s="78" t="s">
        <v>12</v>
      </c>
      <c r="C18" s="79"/>
      <c r="D18" s="80"/>
      <c r="E18" s="9">
        <v>614122.37472400011</v>
      </c>
      <c r="F18" s="9" t="s">
        <v>3</v>
      </c>
      <c r="G18" s="1"/>
    </row>
    <row r="19" spans="1:7" ht="14.25" customHeight="1" x14ac:dyDescent="0.25">
      <c r="A19" s="1"/>
      <c r="B19" s="30" t="s">
        <v>44</v>
      </c>
      <c r="C19" s="30"/>
      <c r="D19" s="30"/>
      <c r="E19" s="22"/>
      <c r="F19" s="22"/>
      <c r="G19" s="1"/>
    </row>
    <row r="20" spans="1:7" x14ac:dyDescent="0.25">
      <c r="A20" s="1"/>
      <c r="B20" s="51" t="s">
        <v>44</v>
      </c>
      <c r="C20" s="32"/>
      <c r="D20" s="33"/>
      <c r="E20" s="9">
        <v>0</v>
      </c>
      <c r="F20" s="31" t="s">
        <v>3</v>
      </c>
      <c r="G20" s="1"/>
    </row>
    <row r="21" spans="1:7" x14ac:dyDescent="0.25">
      <c r="A21" s="1"/>
      <c r="B21" s="30" t="s">
        <v>43</v>
      </c>
      <c r="C21" s="30"/>
      <c r="D21" s="30"/>
      <c r="E21" s="22"/>
      <c r="F21" s="22"/>
      <c r="G21" s="1"/>
    </row>
    <row r="22" spans="1:7" ht="15.4" customHeight="1" x14ac:dyDescent="0.25">
      <c r="A22" s="1"/>
      <c r="B22" s="83" t="s">
        <v>39</v>
      </c>
      <c r="C22" s="84"/>
      <c r="D22" s="85"/>
      <c r="E22" s="37">
        <v>0</v>
      </c>
      <c r="F22" s="34" t="s">
        <v>3</v>
      </c>
      <c r="G22" s="1"/>
    </row>
    <row r="23" spans="1:7" ht="15.75" customHeight="1" x14ac:dyDescent="0.25">
      <c r="A23" s="1"/>
      <c r="B23" s="83" t="s">
        <v>40</v>
      </c>
      <c r="C23" s="84"/>
      <c r="D23" s="85"/>
      <c r="E23" s="34">
        <v>0</v>
      </c>
      <c r="F23" s="34" t="s">
        <v>3</v>
      </c>
      <c r="G23" s="1"/>
    </row>
    <row r="24" spans="1:7" x14ac:dyDescent="0.25">
      <c r="A24" s="1"/>
      <c r="B24" s="86" t="s">
        <v>45</v>
      </c>
      <c r="C24" s="87"/>
      <c r="D24" s="88"/>
      <c r="E24" s="9">
        <v>0</v>
      </c>
      <c r="F24" s="9" t="s">
        <v>3</v>
      </c>
      <c r="G24" s="1"/>
    </row>
    <row r="25" spans="1:7" x14ac:dyDescent="0.25">
      <c r="A25" s="1"/>
      <c r="B25" s="30" t="s">
        <v>105</v>
      </c>
      <c r="C25" s="30"/>
      <c r="D25" s="30"/>
      <c r="E25" s="22"/>
      <c r="F25" s="22"/>
      <c r="G25" s="1"/>
    </row>
    <row r="26" spans="1:7" x14ac:dyDescent="0.25">
      <c r="A26" s="1"/>
      <c r="B26" s="78" t="s">
        <v>160</v>
      </c>
      <c r="C26" s="79"/>
      <c r="D26" s="80"/>
      <c r="E26" s="9">
        <v>-278417.53898341232</v>
      </c>
      <c r="F26" s="31" t="s">
        <v>3</v>
      </c>
      <c r="G26" s="1"/>
    </row>
    <row r="27" spans="1:7" ht="14.25" customHeight="1" x14ac:dyDescent="0.25">
      <c r="A27" s="1"/>
      <c r="B27" s="78" t="s">
        <v>104</v>
      </c>
      <c r="C27" s="79"/>
      <c r="D27" s="80"/>
      <c r="E27" s="9">
        <v>0</v>
      </c>
      <c r="F27" s="31" t="s">
        <v>3</v>
      </c>
      <c r="G27" s="1"/>
    </row>
    <row r="28" spans="1:7" x14ac:dyDescent="0.25">
      <c r="A28" s="1"/>
      <c r="B28" s="30" t="s">
        <v>80</v>
      </c>
      <c r="C28" s="30"/>
      <c r="D28" s="30"/>
      <c r="E28" s="22"/>
      <c r="F28" s="22"/>
      <c r="G28" s="1"/>
    </row>
    <row r="29" spans="1:7" ht="15.75" customHeight="1" x14ac:dyDescent="0.25">
      <c r="A29" s="1"/>
      <c r="B29" s="78" t="s">
        <v>80</v>
      </c>
      <c r="C29" s="79"/>
      <c r="D29" s="80"/>
      <c r="E29" s="9">
        <v>0</v>
      </c>
      <c r="F29" s="31" t="s">
        <v>3</v>
      </c>
      <c r="G29" s="1"/>
    </row>
    <row r="30" spans="1:7" x14ac:dyDescent="0.25">
      <c r="A30" s="1"/>
      <c r="B30" s="30" t="s">
        <v>26</v>
      </c>
      <c r="C30" s="30"/>
      <c r="D30" s="30"/>
      <c r="E30" s="10">
        <f>E16+E18+E20+E24+E27+E29</f>
        <v>5013609.3820734276</v>
      </c>
      <c r="F30" s="11" t="s">
        <v>3</v>
      </c>
      <c r="G30" s="1"/>
    </row>
    <row r="31" spans="1:7" ht="28.5" customHeight="1" x14ac:dyDescent="0.25">
      <c r="A31" s="1"/>
      <c r="B31" s="77" t="s">
        <v>124</v>
      </c>
      <c r="C31" s="77"/>
      <c r="D31" s="77"/>
      <c r="E31" s="77"/>
      <c r="F31" s="7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sheetProtection algorithmName="SHA-512" hashValue="B0wz4VPasHvjWD73EcQFjzetQHISkEdIcjBrMau62ue4RcsZPBy0wd3g8c++LalJu1Wt8y9PDFCtykbc3cnctg==" saltValue="DXlOSnGemQBft1r8tbLLGg==" spinCount="100000" sheet="1" objects="1" scenarios="1"/>
  <customSheetViews>
    <customSheetView guid="{8BCA264E-FE70-4497-B667-7DCB6C5E8A89}" showPageBreaks="1" showGridLines="0" view="pageLayout">
      <selection activeCell="B10" sqref="B10:D10"/>
      <pageMargins left="0.7" right="0.7" top="0.75" bottom="0.75" header="0.3" footer="0.3"/>
      <pageSetup paperSize="9" orientation="portrait" r:id="rId1"/>
    </customSheetView>
  </customSheetViews>
  <mergeCells count="17">
    <mergeCell ref="B13:D13"/>
    <mergeCell ref="B3:F4"/>
    <mergeCell ref="B9:D9"/>
    <mergeCell ref="B11:D11"/>
    <mergeCell ref="B12:D12"/>
    <mergeCell ref="B10:D10"/>
    <mergeCell ref="B31:F31"/>
    <mergeCell ref="B29:D29"/>
    <mergeCell ref="B14:D14"/>
    <mergeCell ref="B15:D15"/>
    <mergeCell ref="B16:D16"/>
    <mergeCell ref="B18:D18"/>
    <mergeCell ref="B27:D27"/>
    <mergeCell ref="B22:D22"/>
    <mergeCell ref="B23:D23"/>
    <mergeCell ref="B24:D24"/>
    <mergeCell ref="B26:D26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60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1" t="s">
        <v>125</v>
      </c>
      <c r="C8" s="92"/>
      <c r="D8" s="93"/>
      <c r="E8" s="1"/>
      <c r="F8" s="1"/>
    </row>
    <row r="9" spans="1:6" ht="15" customHeight="1" x14ac:dyDescent="0.25">
      <c r="A9" s="1"/>
      <c r="B9" s="17" t="s">
        <v>30</v>
      </c>
      <c r="C9" s="31" t="s">
        <v>126</v>
      </c>
      <c r="D9" s="31"/>
      <c r="E9" s="1"/>
      <c r="F9" s="1"/>
    </row>
    <row r="10" spans="1:6" x14ac:dyDescent="0.25">
      <c r="A10" s="1"/>
      <c r="B10" s="26" t="s">
        <v>164</v>
      </c>
      <c r="C10" s="8">
        <v>478651</v>
      </c>
      <c r="D10" s="12" t="s">
        <v>3</v>
      </c>
      <c r="E10" s="1"/>
      <c r="F10" s="1"/>
    </row>
    <row r="11" spans="1:6" x14ac:dyDescent="0.25">
      <c r="A11" s="1"/>
      <c r="B11" s="26" t="s">
        <v>165</v>
      </c>
      <c r="C11" s="8">
        <v>2429</v>
      </c>
      <c r="D11" s="12" t="s">
        <v>3</v>
      </c>
      <c r="E11" s="1"/>
      <c r="F11" s="1"/>
    </row>
    <row r="12" spans="1:6" x14ac:dyDescent="0.25">
      <c r="A12" s="1"/>
      <c r="B12" s="26" t="s">
        <v>166</v>
      </c>
      <c r="C12" s="8">
        <v>7455</v>
      </c>
      <c r="D12" s="12" t="s">
        <v>3</v>
      </c>
      <c r="E12" s="1"/>
      <c r="F12" s="1"/>
    </row>
    <row r="13" spans="1:6" x14ac:dyDescent="0.25">
      <c r="A13" s="1"/>
      <c r="B13" s="58" t="s">
        <v>127</v>
      </c>
      <c r="C13" s="10">
        <f>SUM(C10:C12)</f>
        <v>488535</v>
      </c>
      <c r="D13" s="11" t="s">
        <v>3</v>
      </c>
      <c r="E13" s="1"/>
      <c r="F13" s="1"/>
    </row>
    <row r="14" spans="1:6" x14ac:dyDescent="0.25">
      <c r="A14" s="1"/>
      <c r="B14" s="58" t="s">
        <v>128</v>
      </c>
      <c r="C14" s="10">
        <f>C13*(1+'Fane 12. Nøgletal'!C14)^2</f>
        <v>491764.65114615008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91" t="s">
        <v>75</v>
      </c>
      <c r="C17" s="92"/>
      <c r="D17" s="93"/>
      <c r="E17" s="1"/>
      <c r="F17" s="1"/>
    </row>
    <row r="18" spans="1:6" x14ac:dyDescent="0.25">
      <c r="A18" s="1"/>
      <c r="B18" s="26" t="s">
        <v>61</v>
      </c>
      <c r="C18" s="8">
        <v>0</v>
      </c>
      <c r="D18" s="12" t="s">
        <v>3</v>
      </c>
      <c r="E18" s="1"/>
      <c r="F18" s="1"/>
    </row>
    <row r="19" spans="1:6" x14ac:dyDescent="0.25">
      <c r="A19" s="1"/>
      <c r="B19" s="26" t="s">
        <v>62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26" t="s">
        <v>84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26" t="s">
        <v>129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91"/>
      <c r="C22" s="92"/>
      <c r="D22" s="93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1" t="s">
        <v>59</v>
      </c>
      <c r="C25" s="92"/>
      <c r="D25" s="93"/>
      <c r="E25" s="1"/>
      <c r="F25" s="1"/>
    </row>
    <row r="26" spans="1:6" x14ac:dyDescent="0.25">
      <c r="A26" s="1"/>
      <c r="B26" s="26" t="s">
        <v>61</v>
      </c>
      <c r="C26" s="8">
        <v>0</v>
      </c>
      <c r="D26" s="12" t="s">
        <v>3</v>
      </c>
      <c r="E26" s="1"/>
      <c r="F26" s="1"/>
    </row>
    <row r="27" spans="1:6" x14ac:dyDescent="0.25">
      <c r="A27" s="1"/>
      <c r="B27" s="26" t="s">
        <v>62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26" t="s">
        <v>84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26" t="s">
        <v>129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91"/>
      <c r="C30" s="92"/>
      <c r="D30" s="93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J6ktlr75vKkOhkRQzeQihobGGo2jdTtggmX7HTkXPTfWm5TdHQMcnrg7NfVOooyKjUJ/U73Nv7JXwb6+JEw1g==" saltValue="PFKN8zYJF9X4EDf2V14ofg==" spinCount="100000" sheet="1" objects="1" scenarios="1"/>
  <customSheetViews>
    <customSheetView guid="{8BCA264E-FE70-4497-B667-7DCB6C5E8A89}" showPageBreaks="1" showGridLines="0" view="pageLayout">
      <selection activeCell="B21" sqref="B21"/>
      <pageMargins left="0.75" right="0.7" top="0.75" bottom="0.75" header="0.3" footer="0.3"/>
      <pageSetup paperSize="9" orientation="portrait" r:id="rId1"/>
    </customSheetView>
  </customSheetViews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40"/>
      <c r="C6" s="40"/>
      <c r="D6" s="40"/>
      <c r="E6" s="40"/>
      <c r="F6" s="4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170</v>
      </c>
      <c r="C8" s="92"/>
      <c r="D8" s="92"/>
      <c r="E8" s="92"/>
      <c r="F8" s="93"/>
      <c r="G8" s="1"/>
    </row>
    <row r="9" spans="1:7" x14ac:dyDescent="0.25">
      <c r="A9" s="1"/>
      <c r="B9" s="94" t="s">
        <v>171</v>
      </c>
      <c r="C9" s="95"/>
      <c r="D9" s="96"/>
      <c r="E9" s="8">
        <v>2203664.2489999998</v>
      </c>
      <c r="F9" s="12" t="s">
        <v>3</v>
      </c>
      <c r="G9" s="1"/>
    </row>
    <row r="10" spans="1:7" x14ac:dyDescent="0.25">
      <c r="A10" s="1"/>
      <c r="B10" s="94" t="s">
        <v>172</v>
      </c>
      <c r="C10" s="95"/>
      <c r="D10" s="96"/>
      <c r="E10" s="8">
        <v>851623.45159042906</v>
      </c>
      <c r="F10" s="12" t="s">
        <v>3</v>
      </c>
      <c r="G10" s="1"/>
    </row>
    <row r="11" spans="1:7" x14ac:dyDescent="0.25">
      <c r="A11" s="1"/>
      <c r="B11" s="94" t="s">
        <v>173</v>
      </c>
      <c r="C11" s="95"/>
      <c r="D11" s="96"/>
      <c r="E11" s="8">
        <v>1175234.7533289194</v>
      </c>
      <c r="F11" s="12" t="s">
        <v>3</v>
      </c>
      <c r="G11" s="1"/>
    </row>
    <row r="12" spans="1:7" x14ac:dyDescent="0.25">
      <c r="A12" s="1"/>
      <c r="B12" s="58"/>
      <c r="C12" s="22"/>
      <c r="D12" s="22"/>
      <c r="E12" s="22"/>
      <c r="F12" s="59"/>
      <c r="G12" s="1"/>
    </row>
    <row r="13" spans="1:7" ht="53.25" customHeight="1" x14ac:dyDescent="0.25">
      <c r="A13" s="1"/>
      <c r="B13" s="97" t="s">
        <v>174</v>
      </c>
      <c r="C13" s="98"/>
      <c r="D13" s="98"/>
      <c r="E13" s="98"/>
      <c r="F13" s="99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1" t="s">
        <v>175</v>
      </c>
      <c r="C15" s="92"/>
      <c r="D15" s="92"/>
      <c r="E15" s="92"/>
      <c r="F15" s="93"/>
      <c r="G15" s="1"/>
    </row>
    <row r="16" spans="1:7" x14ac:dyDescent="0.25">
      <c r="A16" s="1"/>
      <c r="B16" s="94" t="s">
        <v>176</v>
      </c>
      <c r="C16" s="95"/>
      <c r="D16" s="96"/>
      <c r="E16" s="8">
        <v>0</v>
      </c>
      <c r="F16" s="12" t="s">
        <v>3</v>
      </c>
      <c r="G16" s="1"/>
    </row>
    <row r="17" spans="1:7" x14ac:dyDescent="0.25">
      <c r="A17" s="1"/>
      <c r="B17" s="94" t="s">
        <v>177</v>
      </c>
      <c r="C17" s="95"/>
      <c r="D17" s="96"/>
      <c r="E17" s="8">
        <v>0</v>
      </c>
      <c r="F17" s="12" t="s">
        <v>3</v>
      </c>
      <c r="G17" s="1"/>
    </row>
    <row r="18" spans="1:7" x14ac:dyDescent="0.25">
      <c r="A18" s="1"/>
      <c r="B18" s="94" t="s">
        <v>178</v>
      </c>
      <c r="C18" s="95"/>
      <c r="D18" s="96"/>
      <c r="E18" s="8">
        <v>0</v>
      </c>
      <c r="F18" s="12" t="s">
        <v>3</v>
      </c>
      <c r="G18" s="1"/>
    </row>
    <row r="19" spans="1:7" x14ac:dyDescent="0.25">
      <c r="A19" s="1"/>
      <c r="B19" s="58"/>
      <c r="C19" s="22"/>
      <c r="D19" s="22"/>
      <c r="E19" s="22"/>
      <c r="F19" s="59"/>
      <c r="G19" s="1"/>
    </row>
    <row r="20" spans="1:7" ht="31.5" customHeight="1" x14ac:dyDescent="0.25">
      <c r="A20" s="1"/>
      <c r="B20" s="97" t="s">
        <v>179</v>
      </c>
      <c r="C20" s="98"/>
      <c r="D20" s="98"/>
      <c r="E20" s="98"/>
      <c r="F20" s="9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48" t="s">
        <v>152</v>
      </c>
      <c r="C22" s="49"/>
      <c r="D22" s="49"/>
      <c r="E22" s="49"/>
      <c r="F22" s="50"/>
      <c r="G22" s="1"/>
    </row>
    <row r="23" spans="1:7" x14ac:dyDescent="0.25">
      <c r="A23" s="1"/>
      <c r="B23" s="52" t="s">
        <v>153</v>
      </c>
      <c r="C23" s="53"/>
      <c r="D23" s="54"/>
      <c r="E23" s="8">
        <v>5120509.7432851857</v>
      </c>
      <c r="F23" s="12" t="s">
        <v>3</v>
      </c>
      <c r="G23" s="1"/>
    </row>
    <row r="24" spans="1:7" x14ac:dyDescent="0.25">
      <c r="A24" s="1"/>
      <c r="B24" s="52" t="s">
        <v>154</v>
      </c>
      <c r="C24" s="53"/>
      <c r="D24" s="54"/>
      <c r="E24" s="8">
        <v>5133454</v>
      </c>
      <c r="F24" s="12" t="s">
        <v>3</v>
      </c>
      <c r="G24" s="1"/>
    </row>
    <row r="25" spans="1:7" x14ac:dyDescent="0.25">
      <c r="A25" s="1"/>
      <c r="B25" s="52" t="s">
        <v>31</v>
      </c>
      <c r="C25" s="53"/>
      <c r="D25" s="54"/>
      <c r="E25" s="8">
        <v>0</v>
      </c>
      <c r="F25" s="12" t="s">
        <v>3</v>
      </c>
      <c r="G25" s="1"/>
    </row>
    <row r="26" spans="1:7" x14ac:dyDescent="0.25">
      <c r="A26" s="1"/>
      <c r="B26" s="45" t="s">
        <v>155</v>
      </c>
      <c r="C26" s="46"/>
      <c r="D26" s="47"/>
      <c r="E26" s="36">
        <f>E23-(E24-E25)</f>
        <v>-12944.256714814343</v>
      </c>
      <c r="F26" s="15" t="s">
        <v>3</v>
      </c>
      <c r="G26" s="1"/>
    </row>
    <row r="27" spans="1:7" x14ac:dyDescent="0.25">
      <c r="A27" s="1"/>
      <c r="B27" s="58"/>
      <c r="C27" s="22"/>
      <c r="D27" s="22"/>
      <c r="E27" s="22"/>
      <c r="F27" s="59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1" t="s">
        <v>180</v>
      </c>
      <c r="C29" s="92"/>
      <c r="D29" s="92"/>
      <c r="E29" s="92"/>
      <c r="F29" s="93"/>
      <c r="G29" s="1"/>
    </row>
    <row r="30" spans="1:7" x14ac:dyDescent="0.25">
      <c r="A30" s="1"/>
      <c r="B30" s="86" t="s">
        <v>181</v>
      </c>
      <c r="C30" s="87"/>
      <c r="D30" s="88"/>
      <c r="E30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0" s="15" t="s">
        <v>3</v>
      </c>
      <c r="G30" s="1"/>
    </row>
    <row r="31" spans="1:7" x14ac:dyDescent="0.25">
      <c r="A31" s="1"/>
      <c r="B31" s="86" t="s">
        <v>182</v>
      </c>
      <c r="C31" s="87"/>
      <c r="D31" s="88"/>
      <c r="E31" s="9">
        <f>IF(AND(SUM(E9:E11)&gt;0,E26&gt;0),0,IF(AND(SUM(E9:E11)&gt;0,E26&lt;0,ABS(SUM(E9:E11))&gt;ABS(E26)),0,IF(AND(SUM(E9:E11)&lt;0,E26&gt;0,ABS(SUM(E9:E11))&lt;ABS(E26)),-SUM(E9:E11)/2,IF(AND(SUM(E9:E11)&lt;0,E26&gt;0,ABS(SUM(E9:E11))&gt;ABS(E26)),((SUM(E9:E11))/3+E26)/2,0))))</f>
        <v>0</v>
      </c>
      <c r="F31" s="15" t="s">
        <v>3</v>
      </c>
      <c r="G31" s="1"/>
    </row>
    <row r="32" spans="1:7" x14ac:dyDescent="0.25">
      <c r="A32" s="1"/>
      <c r="B32" s="91"/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1" t="s">
        <v>183</v>
      </c>
      <c r="C34" s="92"/>
      <c r="D34" s="92"/>
      <c r="E34" s="92"/>
      <c r="F34" s="93"/>
      <c r="G34" s="1"/>
    </row>
    <row r="35" spans="1:7" x14ac:dyDescent="0.25">
      <c r="A35" s="1"/>
      <c r="B35" s="103" t="s">
        <v>105</v>
      </c>
      <c r="C35" s="104"/>
      <c r="D35" s="105"/>
      <c r="E35" s="8">
        <f>IF(AND(SUM(E9:E11)&gt;0,E26&lt;0,ABS(SUM(E9:E11))&lt;ABS(E26)),(SUM(E9:E11)-ABS(E26)),IF(AND(SUM(E9:E11)&lt;0,E26&lt;0),E26,0))</f>
        <v>0</v>
      </c>
      <c r="F35" s="12" t="s">
        <v>3</v>
      </c>
      <c r="G35" s="1"/>
    </row>
    <row r="36" spans="1:7" x14ac:dyDescent="0.25">
      <c r="A36" s="1"/>
      <c r="B36" s="103" t="s">
        <v>68</v>
      </c>
      <c r="C36" s="104"/>
      <c r="D36" s="105"/>
      <c r="E36" s="8">
        <v>4</v>
      </c>
      <c r="F36" s="12" t="s">
        <v>20</v>
      </c>
      <c r="G36" s="1"/>
    </row>
    <row r="37" spans="1:7" x14ac:dyDescent="0.25">
      <c r="A37" s="1"/>
      <c r="B37" s="106" t="s">
        <v>184</v>
      </c>
      <c r="C37" s="106"/>
      <c r="D37" s="106"/>
      <c r="E37" s="9">
        <f>E35/E36</f>
        <v>0</v>
      </c>
      <c r="F37" s="15" t="s">
        <v>3</v>
      </c>
      <c r="G37" s="1"/>
    </row>
    <row r="38" spans="1:7" x14ac:dyDescent="0.25">
      <c r="A38" s="1"/>
      <c r="B38" s="100"/>
      <c r="C38" s="101"/>
      <c r="D38" s="101"/>
      <c r="E38" s="101"/>
      <c r="F38" s="102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FEOUsXTJecHOo+MhMNHbsBzg+Z5UyQ363M29dLQlnw+4VuXn5Bob1Q2NfUe/EabguPegcpZwnJ6C8g4V01DDWA==" saltValue="XqrxjVOXd5GP0F4ooqJMdQ==" spinCount="100000" sheet="1" objects="1" scenarios="1"/>
  <customSheetViews>
    <customSheetView guid="{8BCA264E-FE70-4497-B667-7DCB6C5E8A89}" showPageBreaks="1" showGridLines="0" view="pageLayout" topLeftCell="A23">
      <selection activeCell="E49" sqref="E49"/>
      <pageMargins left="0.79166666666666663" right="0.7" top="0.75" bottom="0.75" header="0.3" footer="0.3"/>
      <pageSetup paperSize="9" orientation="portrait" r:id="rId1"/>
    </customSheetView>
  </customSheetViews>
  <mergeCells count="20">
    <mergeCell ref="B29:F29"/>
    <mergeCell ref="B30:D30"/>
    <mergeCell ref="B32:F32"/>
    <mergeCell ref="B34:F34"/>
    <mergeCell ref="B38:F38"/>
    <mergeCell ref="B36:D36"/>
    <mergeCell ref="B37:D37"/>
    <mergeCell ref="B35:D35"/>
    <mergeCell ref="B31:D31"/>
    <mergeCell ref="B3:F4"/>
    <mergeCell ref="B16:D16"/>
    <mergeCell ref="B20:F20"/>
    <mergeCell ref="B17:D17"/>
    <mergeCell ref="B18:D18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130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7" t="s">
        <v>131</v>
      </c>
      <c r="C9" s="107"/>
      <c r="D9" s="107"/>
      <c r="E9" s="107"/>
      <c r="F9" s="107"/>
      <c r="G9" s="1"/>
    </row>
    <row r="10" spans="1:7" x14ac:dyDescent="0.25">
      <c r="A10" s="1"/>
      <c r="B10" s="77" t="s">
        <v>63</v>
      </c>
      <c r="C10" s="77"/>
      <c r="D10" s="77"/>
      <c r="E10" s="7">
        <v>0</v>
      </c>
      <c r="F10" s="41" t="s">
        <v>3</v>
      </c>
      <c r="G10" s="1"/>
    </row>
    <row r="11" spans="1:7" x14ac:dyDescent="0.25">
      <c r="A11" s="1"/>
      <c r="B11" s="108" t="s">
        <v>132</v>
      </c>
      <c r="C11" s="108"/>
      <c r="D11" s="108"/>
      <c r="E11" s="7">
        <v>0</v>
      </c>
      <c r="F11" s="41" t="s">
        <v>3</v>
      </c>
      <c r="G11" s="1"/>
    </row>
    <row r="12" spans="1:7" x14ac:dyDescent="0.25">
      <c r="A12" s="1"/>
      <c r="B12" s="106" t="s">
        <v>64</v>
      </c>
      <c r="C12" s="106"/>
      <c r="D12" s="106"/>
      <c r="E12" s="9">
        <f>E11-E10</f>
        <v>0</v>
      </c>
      <c r="F12" s="31" t="s">
        <v>3</v>
      </c>
      <c r="G12" s="1"/>
    </row>
    <row r="13" spans="1:7" x14ac:dyDescent="0.25">
      <c r="A13" s="1"/>
      <c r="B13" s="107" t="s">
        <v>56</v>
      </c>
      <c r="C13" s="107"/>
      <c r="D13" s="107"/>
      <c r="E13" s="107"/>
      <c r="F13" s="107"/>
      <c r="G13" s="1"/>
    </row>
    <row r="14" spans="1:7" x14ac:dyDescent="0.25">
      <c r="A14" s="1"/>
      <c r="B14" s="108" t="s">
        <v>133</v>
      </c>
      <c r="C14" s="108"/>
      <c r="D14" s="108"/>
      <c r="E14" s="8">
        <v>0</v>
      </c>
      <c r="F14" s="41" t="s">
        <v>3</v>
      </c>
      <c r="G14" s="1"/>
    </row>
    <row r="15" spans="1:7" x14ac:dyDescent="0.25">
      <c r="A15" s="1"/>
      <c r="B15" s="108" t="s">
        <v>134</v>
      </c>
      <c r="C15" s="108"/>
      <c r="D15" s="108"/>
      <c r="E15" s="8">
        <v>0</v>
      </c>
      <c r="F15" s="41" t="s">
        <v>3</v>
      </c>
      <c r="G15" s="1"/>
    </row>
    <row r="16" spans="1:7" x14ac:dyDescent="0.25">
      <c r="A16" s="1"/>
      <c r="B16" s="106" t="s">
        <v>64</v>
      </c>
      <c r="C16" s="106"/>
      <c r="D16" s="106"/>
      <c r="E16" s="9">
        <f>E15-E14</f>
        <v>0</v>
      </c>
      <c r="F16" s="31" t="s">
        <v>3</v>
      </c>
      <c r="G16" s="1"/>
    </row>
    <row r="17" spans="1:7" x14ac:dyDescent="0.25">
      <c r="A17" s="1"/>
      <c r="B17" s="30" t="s">
        <v>135</v>
      </c>
      <c r="C17" s="30"/>
      <c r="D17" s="30"/>
      <c r="E17" s="10">
        <f>E12+E16</f>
        <v>0</v>
      </c>
      <c r="F17" s="11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NSmuUfPpPcPBxr86yUhePrkm0n643TI/6XWZm9CBysa8rewO4UbFOwWdfQw/NOMhDJqsnqP96z48gsv65IJvOg==" saltValue="zWKqiJeB/HnnE/N7Hg7+yQ==" spinCount="100000" sheet="1" objects="1" scenarios="1"/>
  <customSheetViews>
    <customSheetView guid="{8BCA264E-FE70-4497-B667-7DCB6C5E8A89}" showPageBreaks="1" showGridLines="0" view="pageLayout">
      <selection activeCell="B17" sqref="B17"/>
      <pageMargins left="0.79166666666666663" right="0.7" top="0.75" bottom="0.75" header="0.3" footer="0.3"/>
      <pageSetup paperSize="9" orientation="portrait" r:id="rId1"/>
    </customSheetView>
  </customSheetViews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Korrektion af ØR2020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2021-08-18T11:06:10Z</dcterms:modified>
</cp:coreProperties>
</file>