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uresø Vandforsyning a.m.b.a. (V059)\ØR2024\"/>
    </mc:Choice>
  </mc:AlternateContent>
  <xr:revisionPtr revIDLastSave="0" documentId="13_ncr:1_{A7E52753-2CA7-4912-B310-713399C9818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iterate="1" iterateCount="1"/>
</workbook>
</file>

<file path=xl/calcChain.xml><?xml version="1.0" encoding="utf-8"?>
<calcChain xmlns="http://schemas.openxmlformats.org/spreadsheetml/2006/main">
  <c r="E23" i="41" l="1"/>
  <c r="E31" i="41" s="1"/>
  <c r="E33" i="41" s="1"/>
  <c r="C17" i="22" s="1"/>
  <c r="C17" i="15" l="1"/>
  <c r="E27" i="41"/>
  <c r="C29" i="2"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<sst xmlns="http://schemas.openxmlformats.org/spreadsheetml/2006/main" count="552" uniqueCount="264">
  <si>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</si>
  <si>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</si>
  <si>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</si>
  <si>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</si>
  <si>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</si>
  <si>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</si>
  <si>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</si>
  <si>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</si>
  <si>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</si>
  <si>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</si>
  <si>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</si>
  <si>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</si>
  <si>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</si>
  <si>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</si>
  <si>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</si>
  <si>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</si>
  <si>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</si>
  <si>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</si>
  <si>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</si>
  <si>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</si>
  <si>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</si>
  <si>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</si>
  <si>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</si>
  <si>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</si>
  <si>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</si>
  <si>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</si>
  <si>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</si>
  <si>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</si>
  <si>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</si>
  <si>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</si>
  <si>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</si>
  <si>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</si>
  <si>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</si>
  <si>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</si>
  <si>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</si>
  <si>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</si>
  <si>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</si>
  <si>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</si>
  <si>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</si>
  <si>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</si>
  <si>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</si>
  <si>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</si>
  <si>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</si>
  <si>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</si>
  <si>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</si>
  <si>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</si>
  <si>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</si>
  <si>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</si>
  <si>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</si>
  <si>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</si>
  <si>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</si>
  <si>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</si>
  <si>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</si>
  <si>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</si>
  <si>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</si>
  <si>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</si>
  <si>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</si>
  <si>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</si>
  <si>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</si>
  <si>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</si>
  <si>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</si>
  <si>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</si>
  <si>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</si>
  <si>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</si>
  <si>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</si>
  <si>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</si>
  <si>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</si>
  <si>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</si>
  <si>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</si>
  <si>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</si>
  <si>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</si>
  <si>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</si>
  <si>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</si>
  <si>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</si>
  <si>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</si>
  <si>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</si>
  <si>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</si>
  <si>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</si>
  <si>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</si>
  <si>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</si>
  <si>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</si>
  <si>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</si>
  <si>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</si>
  <si>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</si>
  <si>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</si>
  <si>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</si>
  <si>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</si>
  <si>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</si>
  <si>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</si>
  <si>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</si>
  <si>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</si>
  <si>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</si>
  <si>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</si>
  <si>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</si>
  <si>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</si>
  <si>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</si>
  <si>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</si>
  <si>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</si>
  <si>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</si>
  <si>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</si>
  <si>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</si>
  <si>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</si>
  <si>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</si>
  <si>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</si>
  <si>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</si>
  <si>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</si>
  <si>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</si>
  <si>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</si>
  <si>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</si>
  <si>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</si>
  <si>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</si>
  <si>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</si>
  <si>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</si>
  <si>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</si>
  <si>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</si>
  <si>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</si>
  <si>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</si>
  <si>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</si>
  <si>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</si>
  <si>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</si>
  <si>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</si>
  <si>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</si>
  <si>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</si>
  <si>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</si>
  <si>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</si>
  <si>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</si>
  <si>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</si>
  <si>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</si>
  <si>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</si>
  <si>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</si>
  <si>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</si>
  <si>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</si>
  <si>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</si>
  <si>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</si>
  <si>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</si>
  <si>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</si>
  <si>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</si>
  <si>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</si>
  <si>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</si>
  <si>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</si>
  <si>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</si>
  <si>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</si>
  <si>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</si>
  <si>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</si>
  <si>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</si>
  <si>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</si>
  <si>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</si>
  <si>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</si>
  <si>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</si>
  <si>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</si>
  <si>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</si>
  <si>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</si>
  <si>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</si>
  <si>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</si>
  <si>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</si>
  <si>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</si>
  <si>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</si>
  <si>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</si>
  <si>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</si>
  <si>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</si>
  <si>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</si>
  <si>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</si>
  <si>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</si>
  <si>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</si>
  <si>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</si>
  <si>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</si>
  <si>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</si>
  <si>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</si>
  <si>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</si>
  <si>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</si>
  <si>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</si>
  <si>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</si>
  <si>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</si>
  <si>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</si>
  <si>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</si>
  <si>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</si>
  <si>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</si>
  <si>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</si>
  <si>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</si>
  <si>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</si>
  <si>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</si>
  <si>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</si>
  <si>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</si>
  <si>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</si>
  <si>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</si>
  <si>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</si>
  <si>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</si>
  <si>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</si>
  <si>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</si>
  <si>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</si>
  <si>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</si>
  <si>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</si>
  <si>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</si>
  <si>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</si>
  <si>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</si>
  <si>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</si>
  <si>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</si>
  <si>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</si>
  <si>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</si>
  <si>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</si>
  <si>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</si>
  <si>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</si>
  <si>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</si>
  <si>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</si>
  <si>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</si>
  <si>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</si>
  <si>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</si>
  <si>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</si>
  <si>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</si>
  <si>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</si>
  <si>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</si>
  <si>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</si>
  <si>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</si>
  <si>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</si>
  <si>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</si>
  <si>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</si>
  <si>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</si>
  <si>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</si>
  <si>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</si>
  <si>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</si>
  <si>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</si>
  <si>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</si>
  <si>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</si>
  <si>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</si>
  <si>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</si>
  <si>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</si>
  <si>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</si>
  <si>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</si>
  <si>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</si>
  <si>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</si>
  <si>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</si>
  <si>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</si>
  <si>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</si>
  <si>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</si>
  <si>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</si>
  <si>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</si>
  <si>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</si>
  <si>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</si>
  <si>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</si>
  <si>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</si>
  <si>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</si>
  <si>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</si>
  <si>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</si>
  <si>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 2022</t>
  </si>
  <si>
    <t>Afgift for ledningsført vand</t>
  </si>
  <si>
    <t>Afgift til Forsyningssekretariatet</t>
  </si>
  <si>
    <t>Køb af ydelser og produkter fra andre vandselskaber reguleret af vandsektorloven</t>
  </si>
  <si>
    <t>Ejendomsskat</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</si>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</sst>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lGwj0PoKnmAIqVwiXmDZRl6sfpLyS+iBjrl4kwzTpkhsJxsGXCY9ulYtdKD4+D4Yg22Cxzi8lR0xJu0KKzn/sg==" saltValue="3lIETtREpQrsFrRYtiYsG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244</v>
      </c>
      <c r="C10" s="9">
        <v>10817114</v>
      </c>
      <c r="D10" s="14" t="s">
        <v>3</v>
      </c>
      <c r="E10" s="1"/>
      <c r="F10" s="1"/>
    </row>
    <row r="11" spans="1:6" x14ac:dyDescent="0.25">
      <c r="A11" s="1"/>
      <c r="B11" s="65" t="s">
        <v>245</v>
      </c>
      <c r="C11" s="9">
        <v>91821</v>
      </c>
      <c r="D11" s="14" t="s">
        <v>3</v>
      </c>
      <c r="E11" s="1"/>
      <c r="F11" s="1"/>
    </row>
    <row r="12" spans="1:6" ht="26.25" x14ac:dyDescent="0.25">
      <c r="A12" s="1"/>
      <c r="B12" s="55" t="s">
        <v>246</v>
      </c>
      <c r="C12" s="9">
        <v>319242.40999999997</v>
      </c>
      <c r="D12" s="14" t="s">
        <v>3</v>
      </c>
      <c r="E12" s="1"/>
      <c r="F12" s="1"/>
    </row>
    <row r="13" spans="1:6" x14ac:dyDescent="0.25">
      <c r="A13" s="1"/>
      <c r="B13" s="65" t="s">
        <v>247</v>
      </c>
      <c r="C13" s="9">
        <v>81935.570000000007</v>
      </c>
      <c r="D13" s="14" t="s">
        <v>3</v>
      </c>
      <c r="E13" s="1"/>
      <c r="F13" s="1"/>
    </row>
    <row r="14" spans="1:6" x14ac:dyDescent="0.25">
      <c r="A14" s="1"/>
      <c r="B14" s="65"/>
      <c r="C14" s="9"/>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2" t="s">
        <v>213</v>
      </c>
      <c r="C19" s="12">
        <f>SUM(C10:C18)</f>
        <v>11310112.98</v>
      </c>
      <c r="D19" s="13" t="s">
        <v>3</v>
      </c>
      <c r="E19" s="1"/>
      <c r="F19" s="1"/>
    </row>
    <row r="20" spans="1:6" x14ac:dyDescent="0.25">
      <c r="A20" s="1"/>
      <c r="B20" s="52" t="s">
        <v>214</v>
      </c>
      <c r="C20" s="12">
        <f>C19*(1+'Fane 13. Nøgletal'!C16)^2</f>
        <v>13211666.893573748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6JY6cgqy8Wc/6248bncNbukj//vV6QaP7yqulMV9AlVEWTEZpJh2If/ZFqEOSwOOJoBKwCcth6r2V4XYYOL/DQ==" saltValue="cJmIZTIorqlUQ9hBbAae1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249</v>
      </c>
      <c r="C8" s="99"/>
      <c r="D8" s="99"/>
      <c r="E8" s="99"/>
      <c r="F8" s="100"/>
      <c r="G8" s="1"/>
    </row>
    <row r="9" spans="1:7" x14ac:dyDescent="0.25">
      <c r="A9" s="1"/>
      <c r="B9" s="101" t="s">
        <v>250</v>
      </c>
      <c r="C9" s="102"/>
      <c r="D9" s="103"/>
      <c r="E9" s="28">
        <v>-5410252.095550254</v>
      </c>
      <c r="F9" s="14" t="s">
        <v>3</v>
      </c>
      <c r="G9" s="1"/>
    </row>
    <row r="10" spans="1:7" x14ac:dyDescent="0.25">
      <c r="A10" s="1"/>
      <c r="B10" s="52"/>
      <c r="C10" s="53"/>
      <c r="D10" s="53"/>
      <c r="E10" s="53"/>
      <c r="F10" s="19"/>
      <c r="G10" s="1"/>
    </row>
    <row r="11" spans="1:7" ht="59.25" customHeight="1" x14ac:dyDescent="0.25">
      <c r="A11" s="1"/>
      <c r="B11" s="120" t="s">
        <v>251</v>
      </c>
      <c r="C11" s="121"/>
      <c r="D11" s="121"/>
      <c r="E11" s="121"/>
      <c r="F11" s="122"/>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252</v>
      </c>
      <c r="C14" s="102"/>
      <c r="D14" s="103"/>
      <c r="E14" s="9">
        <v>-2214036.9811113905</v>
      </c>
      <c r="F14" s="14" t="s">
        <v>3</v>
      </c>
      <c r="G14" s="1"/>
    </row>
    <row r="15" spans="1:7" x14ac:dyDescent="0.25">
      <c r="A15" s="1"/>
      <c r="B15" s="101" t="s">
        <v>253</v>
      </c>
      <c r="C15" s="102"/>
      <c r="D15" s="103"/>
      <c r="E15" s="9">
        <v>-2214036.9811113905</v>
      </c>
      <c r="F15" s="14" t="s">
        <v>3</v>
      </c>
      <c r="G15" s="1"/>
    </row>
    <row r="16" spans="1:7" x14ac:dyDescent="0.25">
      <c r="A16" s="1"/>
      <c r="B16" s="52"/>
      <c r="C16" s="53"/>
      <c r="D16" s="53"/>
      <c r="E16" s="53"/>
      <c r="F16" s="19"/>
      <c r="G16" s="1"/>
    </row>
    <row r="17" spans="1:7" ht="30" customHeight="1" x14ac:dyDescent="0.25">
      <c r="A17" s="1"/>
      <c r="B17" s="120" t="s">
        <v>254</v>
      </c>
      <c r="C17" s="121"/>
      <c r="D17" s="121"/>
      <c r="E17" s="121"/>
      <c r="F17" s="122"/>
      <c r="G17" s="1"/>
    </row>
    <row r="18" spans="1:7" x14ac:dyDescent="0.25">
      <c r="A18" s="1"/>
      <c r="B18" s="1"/>
      <c r="C18" s="1"/>
      <c r="D18" s="1"/>
      <c r="E18" s="1"/>
      <c r="F18" s="1"/>
      <c r="G18" s="1"/>
    </row>
    <row r="19" spans="1:7" x14ac:dyDescent="0.25">
      <c r="A19" s="1"/>
      <c r="B19" s="66" t="s">
        <v>255</v>
      </c>
      <c r="C19" s="67"/>
      <c r="D19" s="67"/>
      <c r="E19" s="67"/>
      <c r="F19" s="68"/>
      <c r="G19" s="1"/>
    </row>
    <row r="20" spans="1:7" x14ac:dyDescent="0.25">
      <c r="A20" s="1"/>
      <c r="B20" s="62" t="s">
        <v>256</v>
      </c>
      <c r="C20" s="63"/>
      <c r="D20" s="64"/>
      <c r="E20" s="9">
        <v>27480862.197253384</v>
      </c>
      <c r="F20" s="14" t="s">
        <v>3</v>
      </c>
      <c r="G20" s="1"/>
    </row>
    <row r="21" spans="1:7" x14ac:dyDescent="0.25">
      <c r="A21" s="1"/>
      <c r="B21" s="62" t="s">
        <v>257</v>
      </c>
      <c r="C21" s="63"/>
      <c r="D21" s="64"/>
      <c r="E21" s="9">
        <v>26539452</v>
      </c>
      <c r="F21" s="14" t="s">
        <v>3</v>
      </c>
      <c r="G21" s="1"/>
    </row>
    <row r="22" spans="1:7" x14ac:dyDescent="0.25">
      <c r="A22" s="1"/>
      <c r="B22" s="62" t="s">
        <v>29</v>
      </c>
      <c r="C22" s="63"/>
      <c r="D22" s="64"/>
      <c r="E22" s="9">
        <v>0</v>
      </c>
      <c r="F22" s="14" t="s">
        <v>3</v>
      </c>
      <c r="G22" s="1"/>
    </row>
    <row r="23" spans="1:7" x14ac:dyDescent="0.25">
      <c r="A23" s="1"/>
      <c r="B23" s="70" t="s">
        <v>258</v>
      </c>
      <c r="C23" s="71"/>
      <c r="D23" s="72"/>
      <c r="E23" s="10">
        <f>E20-(E21-E22)</f>
        <v>941410.1972533837</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98" t="s">
        <v>259</v>
      </c>
      <c r="C26" s="99"/>
      <c r="D26" s="99"/>
      <c r="E26" s="99"/>
      <c r="F26" s="100"/>
      <c r="G26" s="1"/>
    </row>
    <row r="27" spans="1:7" x14ac:dyDescent="0.25">
      <c r="A27" s="1"/>
      <c r="B27" s="123" t="s">
        <v>260</v>
      </c>
      <c r="C27" s="124"/>
      <c r="D27" s="125"/>
      <c r="E27" s="59">
        <f>IF(AND(E15&lt;0,E23&gt;0,ABS(SUM(E14:E15))&lt;E23),ABS(E14),IF(AND(E15&lt;0,E23&gt;0,ABS(SUM(E14:E15))&gt;E23),SUM(E14,E23),0))</f>
        <v>-1272626.7838580068</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261</v>
      </c>
      <c r="C30" s="99"/>
      <c r="D30" s="99"/>
      <c r="E30" s="99"/>
      <c r="F30" s="100"/>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6" t="s">
        <v>116</v>
      </c>
      <c r="C33" s="116"/>
      <c r="D33" s="116"/>
      <c r="E33" s="59">
        <f>E31/E32</f>
        <v>0</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LGCqycpBEEKaBvg9lm7BpKwTTnjz7xwFCq04Do995d2DIAGuhhoOn/pRYSs6j7ul0doB8rfL68VnLMiE0jYaQ==" saltValue="dtIr6Dfuwo0IaodUn/z4EQ=="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1NyAin65dwGN3Nm30pERpN7E284Pdlr9ggH3x1bIO3CKgbWsQJiBzzpUK5bREiFXZxpqeK3fHXVx++7hwUOVw==" saltValue="GdCy4/V9jEW/IQZqjhfcw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erp5AgPExx1DwRJiVnsfTQe7UhVYWHXwMw7rXwmO1zsmtH3MbTByJKS2VtJrpOUlcVo9GDZkqIqb4eMwPRC4QQ==" saltValue="bGfdTA93sEfZeWzEI2yrg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16684.080000000002</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0</v>
      </c>
      <c r="D17" s="13" t="s">
        <v>3</v>
      </c>
      <c r="E17" s="12">
        <f>SUM(E10:E16)</f>
        <v>16684.080000000002</v>
      </c>
      <c r="F17" s="13" t="s">
        <v>3</v>
      </c>
      <c r="G17" s="1"/>
    </row>
    <row r="18" spans="1:7" x14ac:dyDescent="0.25">
      <c r="A18" s="1"/>
      <c r="B18" s="52" t="s">
        <v>209</v>
      </c>
      <c r="C18" s="12">
        <f>C17*(1+'Fane 13. Nøgletal'!C16)</f>
        <v>0</v>
      </c>
      <c r="D18" s="13" t="s">
        <v>3</v>
      </c>
      <c r="E18" s="12">
        <f>E17*(1+'Fane 13. Nøgletal'!C16)</f>
        <v>18032.153664000001</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0SXQNwZm4zR9wo0FyupPtV9j2gQxXA9L+3/7bhmSpQ+RtWVKoW2uuTCQSGIm23bi3HebLM4VS1oH+pTB3XwCcA==" saltValue="3RvlArYO/HbC2JxbmGiPP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t="s">
        <v>248</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R/x6Vbd+BdjHd1Zx0UhPtToso2l37u9BlLXFgT8rOu+amtiMELJz32RPzeUFzHmt9UEXmOxWZpAcz5bS9Zn8Q==" saltValue="JsJnfWhD4cSezQsplBY4B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sheetData>
  <sheetProtection algorithmName="SHA-512" hashValue="BpQHgcFmtPUbbwqrVUhTNR/zGbOFDGqrKDVw0mQ3bo3qROICRGxmLvU9EfcSEeSw3Z7P3nFkPlz9uE3F76TTdA==" saltValue="4W3I2BiTb6FffENHQLxq9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6.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ZynKMIHvpEWXukYAv2xjOHYscWwKM8Xo+NdP6D6HelgXxT4qJ45Ptgbp8yUDzx/SdpeT3OZdwgdOEasFmOOWQ==" saltValue="FepTD8HDy7dTNYGKU1rTM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5"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HbFQmth2AHoSmARASjQQ9DRPmY6IopY93iOhEIXva1AFiEo/6p1fdHM0H64c7aPHZpISh5GGByw0zO2uFeSRGg==" saltValue="GLTvAtCQ/saMhuKFuO1XG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16224335.214911334</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18032.153664000001</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579043.33166689472</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-194337.98784353913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16627072.712398689</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13211666.893573748</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-1272626.7838580068</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26" t="s">
        <v>262</v>
      </c>
      <c r="C32" s="53"/>
      <c r="D32" s="19"/>
      <c r="E32" s="1"/>
    </row>
    <row r="33" spans="1:5" x14ac:dyDescent="0.25">
      <c r="A33" s="1"/>
      <c r="B33" s="69" t="s">
        <v>263</v>
      </c>
      <c r="C33" s="10">
        <v>542108.14043637435</v>
      </c>
      <c r="D33" s="11" t="s">
        <v>3</v>
      </c>
      <c r="E33" s="1"/>
    </row>
    <row r="34" spans="1:5" x14ac:dyDescent="0.25">
      <c r="A34" s="1"/>
      <c r="B34" s="52" t="s">
        <v>126</v>
      </c>
      <c r="C34" s="33">
        <f>SUM(C19,C21,C27,C29,C31,C33)</f>
        <v>29108220.962550804</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ht="12" customHeight="1" x14ac:dyDescent="0.25">
      <c r="A44" s="1"/>
      <c r="B44" s="1"/>
      <c r="C44" s="1"/>
      <c r="D44" s="1"/>
      <c r="E44" s="1"/>
    </row>
    <row r="45" spans="1:5" x14ac:dyDescent="0.25">
      <c r="A45" s="1"/>
      <c r="B45" s="1"/>
      <c r="C45" s="1"/>
      <c r="D45" s="1"/>
      <c r="E45" s="1"/>
    </row>
    <row r="46" spans="1:5" ht="14.1" customHeight="1"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s4nFMBtqQuCV/O0sp5Y0ZDVODG89eNX1vS1YlDVxxBXlj8VVmKJFLRqk4uYiG3Gr61dI4bcXwry8/wdG78LJg==" saltValue="R2GYj9nSnkppj0QAbUEdl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16627072.712398689</v>
      </c>
      <c r="D8" s="8" t="s">
        <v>3</v>
      </c>
      <c r="E8" s="1"/>
    </row>
    <row r="9" spans="1:5" ht="15" customHeight="1" x14ac:dyDescent="0.25">
      <c r="A9" s="1"/>
      <c r="B9" s="29" t="s">
        <v>17</v>
      </c>
      <c r="C9" s="9">
        <f>SUM(C8:C8)*'Fane 13. Nøgletal'!C16</f>
        <v>1343467.4751618141</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-205839.68731607113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17764700.500244431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14279169.578574507</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32043870.07881894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2/UKTt/2+wHJK+x7HPb/s1B8r4PNVoeU0Ng5vlL7Y8Xosqua4yaVkXxWExnrkJOiiAfIo5mxRvwwDJBaleNZQ==" saltValue="EQXJlskOIR+urjZ6KJ9c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17764700.500244431</v>
      </c>
      <c r="D8" s="8" t="s">
        <v>3</v>
      </c>
      <c r="E8" s="1"/>
    </row>
    <row r="9" spans="1:5" ht="15" customHeight="1" x14ac:dyDescent="0.25">
      <c r="A9" s="1"/>
      <c r="B9" s="29" t="s">
        <v>17</v>
      </c>
      <c r="C9" s="9">
        <f>SUM(C8:C8)*'Fane 13. Nøgletal'!C16</f>
        <v>1435387.8004197499</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-218022.1033701855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18982066.197293997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15432926.480523326</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34414992.677817322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7788GgR7UAmQg1DxT7RT1z+VAawsEf5ko69mKBSZjeuOSP3K5e7TQyj3Mz7ZLgwC5W4VyMqqq9yZsjv/RGc3w==" saltValue="ihAzrBI+4EDGBSpAkOVZr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18982066.197293997</v>
      </c>
      <c r="D8" s="8" t="s">
        <v>3</v>
      </c>
      <c r="E8" s="1"/>
    </row>
    <row r="9" spans="1:5" ht="15" customHeight="1" x14ac:dyDescent="0.25">
      <c r="A9" s="1"/>
      <c r="B9" s="29" t="s">
        <v>17</v>
      </c>
      <c r="C9" s="9">
        <f>SUM(C8:C8)*'Fane 13. Nøgletal'!C16</f>
        <v>1533750.948741355</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-230925.52353604656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20284891.622499306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16679906.940149611</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36964798.562648915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WY+dU1ut+XcXXkgMtHZ/HdKZ1LEn4SQVUIcxnbbajXUKfoHadqu2lhIbRr86H/4TiJrAlbbzgLSOBbFhnZvMQ==" saltValue="Id5dWzYJBgt5DM1YA6M7L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15843006.358994987</v>
      </c>
      <c r="D8" s="8" t="s">
        <v>3</v>
      </c>
      <c r="E8" s="1"/>
    </row>
    <row r="9" spans="1:5" x14ac:dyDescent="0.25">
      <c r="A9" s="1"/>
      <c r="B9" s="24" t="s">
        <v>33</v>
      </c>
      <c r="C9" s="7">
        <v>0</v>
      </c>
      <c r="D9" s="8" t="s">
        <v>3</v>
      </c>
      <c r="E9" s="1"/>
    </row>
    <row r="10" spans="1:5" x14ac:dyDescent="0.25">
      <c r="A10" s="1"/>
      <c r="B10" s="24" t="s">
        <v>34</v>
      </c>
      <c r="C10" s="9">
        <v>8502.2759999999998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564313.70740582154</v>
      </c>
      <c r="D15" s="8" t="s">
        <v>3</v>
      </c>
      <c r="E15" s="1"/>
    </row>
    <row r="16" spans="1:5" x14ac:dyDescent="0.25">
      <c r="A16" s="1"/>
      <c r="B16" s="24" t="s">
        <v>9</v>
      </c>
      <c r="C16" s="9">
        <v>0</v>
      </c>
      <c r="D16" s="8" t="s">
        <v>3</v>
      </c>
      <c r="E16" s="1"/>
    </row>
    <row r="17" spans="1:5" x14ac:dyDescent="0.25">
      <c r="A17" s="1"/>
      <c r="B17" s="24" t="s">
        <v>22</v>
      </c>
      <c r="C17" s="9">
        <v>-191487.1274894758</v>
      </c>
      <c r="D17" s="8" t="s">
        <v>3</v>
      </c>
      <c r="E17" s="1"/>
    </row>
    <row r="18" spans="1:5" x14ac:dyDescent="0.25">
      <c r="A18" s="1"/>
      <c r="B18" s="24" t="s">
        <v>23</v>
      </c>
      <c r="C18" s="9">
        <v>0</v>
      </c>
      <c r="D18" s="8" t="s">
        <v>3</v>
      </c>
      <c r="E18" s="1"/>
    </row>
    <row r="19" spans="1:5" x14ac:dyDescent="0.25">
      <c r="A19" s="1"/>
      <c r="B19" s="70" t="s">
        <v>19</v>
      </c>
      <c r="C19" s="10">
        <v>16224335.214911334</v>
      </c>
      <c r="D19" s="11" t="s">
        <v>3</v>
      </c>
      <c r="E19" s="1"/>
    </row>
    <row r="20" spans="1:5" x14ac:dyDescent="0.25">
      <c r="A20" s="1"/>
      <c r="B20" s="52" t="s">
        <v>11</v>
      </c>
      <c r="C20" s="53"/>
      <c r="D20" s="19"/>
      <c r="E20" s="1"/>
    </row>
    <row r="21" spans="1:5" x14ac:dyDescent="0.25">
      <c r="A21" s="1"/>
      <c r="B21" s="54" t="s">
        <v>11</v>
      </c>
      <c r="C21" s="10">
        <v>12451160.973907685</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-2214036.9811113905</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26461459.207707629</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ywopzUExCxnu/aHOvH7v0N3/lDU009BZx0tN3bxfsPrzXeBgFiWwHNmoj//6iGTV30b9WbmcccB7a54ij9WWQ==" saltValue="fBd3k4ktZVoCaM6T4zyZK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9727273</v>
      </c>
      <c r="H5" s="14" t="s">
        <v>3</v>
      </c>
      <c r="I5" s="1"/>
    </row>
    <row r="6" spans="1:9" x14ac:dyDescent="0.25">
      <c r="A6" s="1"/>
      <c r="B6" s="101" t="s">
        <v>37</v>
      </c>
      <c r="C6" s="102"/>
      <c r="D6" s="102"/>
      <c r="E6" s="102"/>
      <c r="F6" s="103"/>
      <c r="G6" s="22">
        <f>G5*'Fane 13. Nøgletal'!C33</f>
        <v>194545.46</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9653793.1797579993</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193075.86359515999</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9620603.4388059899</v>
      </c>
      <c r="H16" s="14" t="s">
        <v>3</v>
      </c>
      <c r="I16" s="1"/>
    </row>
    <row r="17" spans="1:9" x14ac:dyDescent="0.25">
      <c r="A17" s="1"/>
      <c r="B17" s="101" t="s">
        <v>100</v>
      </c>
      <c r="C17" s="102"/>
      <c r="D17" s="102"/>
      <c r="E17" s="102"/>
      <c r="F17" s="103"/>
      <c r="G17" s="47">
        <v>0.38634940250020416</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192412.07650310785</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9587528.1892045084</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191750.56378409016</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9510406.1124505475</v>
      </c>
      <c r="H29" s="14" t="s">
        <v>3</v>
      </c>
      <c r="I29" s="1"/>
    </row>
    <row r="30" spans="1:9" x14ac:dyDescent="0.25">
      <c r="A30" s="1"/>
      <c r="B30" s="101" t="s">
        <v>231</v>
      </c>
      <c r="C30" s="102"/>
      <c r="D30" s="102"/>
      <c r="E30" s="102"/>
      <c r="F30" s="103"/>
      <c r="G30" s="47">
        <v>0</v>
      </c>
      <c r="H30" s="14" t="s">
        <v>3</v>
      </c>
      <c r="I30" s="1"/>
    </row>
    <row r="31" spans="1:9" x14ac:dyDescent="0.25">
      <c r="A31" s="1"/>
      <c r="B31" s="101" t="s">
        <v>115</v>
      </c>
      <c r="C31" s="102"/>
      <c r="D31" s="102"/>
      <c r="E31" s="102"/>
      <c r="F31" s="103"/>
      <c r="G31" s="22">
        <f>(G29+G30)*'Fane 13. Nøgletal'!C33</f>
        <v>190208.12224901095</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9433904.4056819957</v>
      </c>
      <c r="H35" s="14" t="s">
        <v>3</v>
      </c>
      <c r="I35" s="1"/>
    </row>
    <row r="36" spans="1:9" x14ac:dyDescent="0.25">
      <c r="A36" s="1"/>
      <c r="B36" s="101" t="s">
        <v>232</v>
      </c>
      <c r="C36" s="102"/>
      <c r="D36" s="102"/>
      <c r="E36" s="102"/>
      <c r="F36" s="103"/>
      <c r="G36" s="47">
        <v>0</v>
      </c>
      <c r="H36" s="14" t="s">
        <v>3</v>
      </c>
      <c r="I36" s="1"/>
    </row>
    <row r="37" spans="1:9" x14ac:dyDescent="0.25">
      <c r="A37" s="1"/>
      <c r="B37" s="101" t="s">
        <v>123</v>
      </c>
      <c r="C37" s="102"/>
      <c r="D37" s="102"/>
      <c r="E37" s="102"/>
      <c r="F37" s="103"/>
      <c r="G37" s="22">
        <f>(G35+G36)*'Fane 13. Nøgletal'!C33</f>
        <v>188678.08811363991</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9574356.3744737897</v>
      </c>
      <c r="H41" s="14" t="s">
        <v>3</v>
      </c>
      <c r="I41" s="1"/>
    </row>
    <row r="42" spans="1:9" x14ac:dyDescent="0.25">
      <c r="A42" s="1"/>
      <c r="B42" s="101" t="s">
        <v>156</v>
      </c>
      <c r="C42" s="102"/>
      <c r="D42" s="102"/>
      <c r="E42" s="102"/>
      <c r="F42" s="103"/>
      <c r="G42" s="56">
        <v>0</v>
      </c>
      <c r="H42" s="14" t="s">
        <v>3</v>
      </c>
      <c r="I42" s="1"/>
    </row>
    <row r="43" spans="1:9" x14ac:dyDescent="0.25">
      <c r="A43" s="1"/>
      <c r="B43" s="101" t="s">
        <v>166</v>
      </c>
      <c r="C43" s="102"/>
      <c r="D43" s="102"/>
      <c r="E43" s="102"/>
      <c r="F43" s="103"/>
      <c r="G43" s="22">
        <f>(G41+G42)*'Fane 13. Nøgletal'!C33</f>
        <v>191487.1274894758</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9716899.3921769559</v>
      </c>
      <c r="H47" s="14" t="s">
        <v>3</v>
      </c>
      <c r="I47" s="1"/>
    </row>
    <row r="48" spans="1:9" x14ac:dyDescent="0.25">
      <c r="A48" s="1"/>
      <c r="B48" s="101" t="s">
        <v>206</v>
      </c>
      <c r="C48" s="102"/>
      <c r="D48" s="102"/>
      <c r="E48" s="102"/>
      <c r="F48" s="103"/>
      <c r="G48" s="56">
        <f>('Fane 2.1. Økonomisk ramme 2024'!C9+'Fane 2.1. Økonomisk ramme 2024'!C11+'Fane 2.1. Økonomisk ramme 2024'!C13)*(1+'Fane 13. Nøgletal'!C16)</f>
        <v>0</v>
      </c>
      <c r="H48" s="14" t="s">
        <v>3</v>
      </c>
      <c r="I48" s="1"/>
    </row>
    <row r="49" spans="1:9" x14ac:dyDescent="0.25">
      <c r="A49" s="1"/>
      <c r="B49" s="101" t="s">
        <v>167</v>
      </c>
      <c r="C49" s="102"/>
      <c r="D49" s="102"/>
      <c r="E49" s="102"/>
      <c r="F49" s="103"/>
      <c r="G49" s="22">
        <f>G47*'Fane 13. Nøgletal'!C33+G48*'Fane 13. Nøgletal'!C33</f>
        <v>194337.98784353913</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10291984.365803557</v>
      </c>
      <c r="H53" s="14" t="s">
        <v>3</v>
      </c>
      <c r="I53" s="1"/>
    </row>
    <row r="54" spans="1:9" x14ac:dyDescent="0.25">
      <c r="A54" s="1"/>
      <c r="B54" s="101" t="s">
        <v>135</v>
      </c>
      <c r="C54" s="102"/>
      <c r="D54" s="102"/>
      <c r="E54" s="102"/>
      <c r="F54" s="103"/>
      <c r="G54" s="22">
        <f>(G53)*'Fane 13. Nøgletal'!C33</f>
        <v>205839.68731607113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10901105.168509275</v>
      </c>
      <c r="H58" s="14" t="s">
        <v>3</v>
      </c>
      <c r="I58" s="1"/>
    </row>
    <row r="59" spans="1:9" x14ac:dyDescent="0.25">
      <c r="A59" s="1"/>
      <c r="B59" s="101" t="s">
        <v>146</v>
      </c>
      <c r="C59" s="102"/>
      <c r="D59" s="102"/>
      <c r="E59" s="102"/>
      <c r="F59" s="103"/>
      <c r="G59" s="22">
        <f>(G58)*'Fane 13. Nøgletal'!C33</f>
        <v>218022.1033701855</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11546276.176802328</v>
      </c>
      <c r="H63" s="14" t="s">
        <v>3</v>
      </c>
      <c r="I63" s="1"/>
    </row>
    <row r="64" spans="1:9" x14ac:dyDescent="0.25">
      <c r="A64" s="1"/>
      <c r="B64" s="101" t="s">
        <v>222</v>
      </c>
      <c r="C64" s="102"/>
      <c r="D64" s="102"/>
      <c r="E64" s="102"/>
      <c r="F64" s="103"/>
      <c r="G64" s="22">
        <f>(G63)*'Fane 13. Nøgletal'!C33</f>
        <v>230925.52353604656</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x4mOJWoXaBP0YZ9J/J1/knk8GWdmf/LBAFddQRsdoLhdTvIgW/rL+iB8tHZhxUMJShed4waxt2RjtPibzGxIUw==" saltValue="6PdjqGeFeF536g/8YieFd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6762099</v>
      </c>
      <c r="H5" s="14" t="s">
        <v>3</v>
      </c>
      <c r="I5" s="1"/>
    </row>
    <row r="6" spans="1:9" x14ac:dyDescent="0.25">
      <c r="A6" s="1"/>
      <c r="B6" s="101" t="s">
        <v>49</v>
      </c>
      <c r="C6" s="102"/>
      <c r="D6" s="102"/>
      <c r="E6" s="102"/>
      <c r="F6" s="103"/>
      <c r="G6" s="22">
        <f>G5*'Fane 13. Nøgletal'!C21</f>
        <v>61535.100900000005</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6785661.0606185691</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61749.515651628979</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6837545.6500768801</v>
      </c>
      <c r="H16" s="14" t="s">
        <v>3</v>
      </c>
      <c r="I16" s="1"/>
    </row>
    <row r="17" spans="1:9" x14ac:dyDescent="0.25">
      <c r="A17" s="1"/>
      <c r="B17" s="101" t="s">
        <v>101</v>
      </c>
      <c r="C17" s="102"/>
      <c r="D17" s="102"/>
      <c r="E17" s="102"/>
      <c r="F17" s="103"/>
      <c r="G17" s="47">
        <v>278023.44281723525</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61905.4511081788</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7172870.557332118</v>
      </c>
      <c r="H23" s="14" t="s">
        <v>3</v>
      </c>
      <c r="I23" s="1"/>
    </row>
    <row r="24" spans="1:9" x14ac:dyDescent="0.25">
      <c r="A24" s="1"/>
      <c r="B24" s="104" t="s">
        <v>62</v>
      </c>
      <c r="C24" s="105"/>
      <c r="D24" s="105"/>
      <c r="E24" s="105"/>
      <c r="F24" s="106"/>
      <c r="G24" s="47">
        <v>198221.62460657037</v>
      </c>
      <c r="H24" s="14" t="s">
        <v>3</v>
      </c>
      <c r="I24" s="1"/>
    </row>
    <row r="25" spans="1:9" x14ac:dyDescent="0.25">
      <c r="A25" s="1"/>
      <c r="B25" s="101" t="s">
        <v>63</v>
      </c>
      <c r="C25" s="102"/>
      <c r="D25" s="102"/>
      <c r="E25" s="102"/>
      <c r="F25" s="103"/>
      <c r="G25" s="22">
        <f>G23*'Fane 13. Nøgletal'!C23+G24*'Fane 13. Nøgletal'!C24</f>
        <v>68033.467987616023</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7392156.0302612754</v>
      </c>
      <c r="H29" s="14" t="s">
        <v>3</v>
      </c>
      <c r="I29" s="1"/>
    </row>
    <row r="30" spans="1:9" x14ac:dyDescent="0.25">
      <c r="A30" s="1"/>
      <c r="B30" s="101" t="s">
        <v>113</v>
      </c>
      <c r="C30" s="102"/>
      <c r="D30" s="102"/>
      <c r="E30" s="102"/>
      <c r="F30" s="103"/>
      <c r="G30" s="47">
        <v>38902.119454799998</v>
      </c>
      <c r="H30" s="14" t="s">
        <v>3</v>
      </c>
      <c r="I30" s="1"/>
    </row>
    <row r="31" spans="1:9" x14ac:dyDescent="0.25">
      <c r="A31" s="1"/>
      <c r="B31" s="101" t="s">
        <v>120</v>
      </c>
      <c r="C31" s="102"/>
      <c r="D31" s="102"/>
      <c r="E31" s="102"/>
      <c r="F31" s="103"/>
      <c r="G31" s="22">
        <f>(G29+G30)*'Fane 13. Nøgletal'!C25</f>
        <v>204354.09911719209</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7314869.840016189</v>
      </c>
      <c r="H35" s="14" t="s">
        <v>3</v>
      </c>
      <c r="I35" s="1"/>
    </row>
    <row r="36" spans="1:9" x14ac:dyDescent="0.25">
      <c r="A36" s="1"/>
      <c r="B36" s="101" t="s">
        <v>129</v>
      </c>
      <c r="C36" s="102"/>
      <c r="D36" s="102"/>
      <c r="E36" s="102"/>
      <c r="F36" s="103"/>
      <c r="G36" s="22">
        <v>9953.3684803200013</v>
      </c>
      <c r="H36" s="14" t="s">
        <v>3</v>
      </c>
      <c r="I36" s="1"/>
    </row>
    <row r="37" spans="1:9" x14ac:dyDescent="0.25">
      <c r="A37" s="1"/>
      <c r="B37" s="101" t="s">
        <v>125</v>
      </c>
      <c r="C37" s="102"/>
      <c r="D37" s="102"/>
      <c r="E37" s="102"/>
      <c r="F37" s="103"/>
      <c r="G37" s="22">
        <f>G35*'Fane 13. Nøgletal'!C25+G36*'Fane 13. Nøgletal'!C26</f>
        <v>201306.23045395396</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7377114.1824608706</v>
      </c>
      <c r="H41" s="14" t="s">
        <v>3</v>
      </c>
      <c r="I41" s="1"/>
    </row>
    <row r="42" spans="1:9" x14ac:dyDescent="0.25">
      <c r="A42" s="1"/>
      <c r="B42" s="101" t="s">
        <v>169</v>
      </c>
      <c r="C42" s="102"/>
      <c r="D42" s="102"/>
      <c r="E42" s="102"/>
      <c r="F42" s="103"/>
      <c r="G42" s="9">
        <v>8804.9570256000006</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7648857.8608521894</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19489.1516800512</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8287949.4511448452</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8957615.7667973489</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9681391.1207545754</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iFQJ8ftNHOjBZYPLYUBh9J7bCyhgHMClJRxaUcXd/cHO7Hxk3jjCxOMdBKMqkikBRVT4WeiopKYa1PSXqO9Tgw==" saltValue="M89ZGs+NuunxItsUnt8lQ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51">
        <v>0</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s1XsHdbqlYjERK8WHj0DV2ZtyEkmWEbn/hRXhqC2mrcAtWROrZN5M/hDviEWtgL6OT6ruyJx/VaC1AINqT91PA==" saltValue="YhDmCnCv3bFwC1fn5lt7M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2023-11-05T12:43:36Z</dcterms:modified>
</cp:coreProperties>
</file>