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Padborg Vandværk Amba (V14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<sst xmlns="http://schemas.openxmlformats.org/spreadsheetml/2006/main" count="322" uniqueCount="153">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</sst>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152</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RDQHRcTTT9TdjiDvmbDIuS4H9wi10sDHIQjlmp0pMnJddsiBho2HDfC9A0z84LvTi5giSDSDnd0qFiX8LifTA==" saltValue="wNXQs/Fs0oCBOlhGHqt9v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55" t="s">
        <v>134</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Iv2+D81OvpwFg/YHVZ/AX1VcuRYNM/5HA4uOcui5IxePIezvj8b8NhYi1nH4m2lzozJXJiq8u/HE2eWPPHpB4A==" saltValue="jGbU6juvXuaB4185h+/F+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61" t="s">
        <v>15</v>
      </c>
      <c r="C9" s="61" t="s">
        <v>10</v>
      </c>
      <c r="D9" s="62"/>
      <c r="E9" s="61" t="s">
        <v>24</v>
      </c>
      <c r="F9" s="71"/>
      <c r="G9" s="1"/>
    </row>
    <row r="10" spans="1:7" x14ac:dyDescent="0.25">
      <c r="A10" s="1"/>
      <c r="B10" s="20" t="s">
        <v>135</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2" t="s">
        <v>67</v>
      </c>
      <c r="C12" s="10">
        <f>SUM(C10:C11)</f>
        <v>0</v>
      </c>
      <c r="D12" s="11" t="s">
        <v>3</v>
      </c>
      <c r="E12" s="10">
        <f>SUM(E10:E11)</f>
        <v>0</v>
      </c>
      <c r="F12" s="11" t="s">
        <v>3</v>
      </c>
      <c r="G12" s="1"/>
    </row>
    <row r="13" spans="1:7" x14ac:dyDescent="0.25">
      <c r="A13" s="1"/>
      <c r="B13" s="72"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89zQ+xymzgCkLUFiuPNl5zcL/qoRi1eUd80OvMNcsYL2zsnBYrrUEkibyjDUEWt9EbWKhyKbAAPnizqqPIK0w==" saltValue="qIcQ+eJXFKD3ou/aSOpH5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1" t="s">
        <v>15</v>
      </c>
      <c r="C8" s="61" t="s">
        <v>10</v>
      </c>
      <c r="D8" s="62"/>
      <c r="E8" s="61" t="s">
        <v>24</v>
      </c>
      <c r="F8" s="71"/>
      <c r="G8" s="1"/>
    </row>
    <row r="9" spans="1:7" x14ac:dyDescent="0.25">
      <c r="A9" s="1"/>
      <c r="B9" s="20" t="s">
        <v>136</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IpGQ3vFxxrzC48LqzIBOz0o8zcioP4ycDWFc3nxEDlhmxD/can23Gq9g1PtHvXJ5DjxTe8Oa6oDALxif36x2kw==" saltValue="yo4PTVLtJuR/Gz72EU9jm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ZFF1QYRu17KjEjIi8z1dXn5Bp32RLg1YUdWXy6bWoxL76xTV29dRrgsf+vCUTTs5DBNX/9M5xSIbqbalZlfBQ==" saltValue="nMkaQ0xs1kYAvGn+gNiED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138</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D3pf0DiDlyHMNw+S0fLQg9r4+t4yybi22tbHqqp8m32zTyDbjPFi1Xorvn3bziu64fdaQPyAJZpNXLdkuCGSqA==" saltValue="fOtRRHkdR91KinVWvQHID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9dT908Q35mdbGoFKKYbWZr/F/99zNprL7Q7v2JFP7wKlNecz2A4UG/WQjwv0PKHSfS8MFLQckJA6xZUqBJYgeg==" saltValue="Dj9dUCI6zD6YGOV699YW/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12</v>
      </c>
      <c r="C8" s="56"/>
      <c r="D8" s="56"/>
      <c r="E8" s="56"/>
      <c r="F8" s="56"/>
      <c r="G8" s="1"/>
    </row>
    <row r="9" spans="1:7" x14ac:dyDescent="0.25">
      <c r="A9" s="1"/>
      <c r="B9" s="53" t="s">
        <v>55</v>
      </c>
      <c r="C9" s="53"/>
      <c r="D9" s="53"/>
      <c r="E9" s="7">
        <f>'Fane 3. Omkostninger i ØR2022'!E16</f>
        <v>6110802.0787145644</v>
      </c>
      <c r="F9" s="53" t="s">
        <v>3</v>
      </c>
      <c r="G9" s="1"/>
    </row>
    <row r="10" spans="1:7" ht="17.25" customHeight="1" x14ac:dyDescent="0.25">
      <c r="A10" s="1"/>
      <c r="B10" s="24" t="s">
        <v>50</v>
      </c>
      <c r="C10" s="53"/>
      <c r="D10" s="53"/>
      <c r="E10" s="7">
        <f>'Fane 8.1. Varige tillæg'!C13+'Fane 8.1. Varige tillæg'!E13</f>
        <v>0</v>
      </c>
      <c r="F10" s="53" t="s">
        <v>3</v>
      </c>
      <c r="G10" s="1"/>
    </row>
    <row r="11" spans="1:7" ht="17.25" customHeight="1" x14ac:dyDescent="0.25">
      <c r="A11" s="1"/>
      <c r="B11" s="24" t="s">
        <v>52</v>
      </c>
      <c r="C11" s="53"/>
      <c r="D11" s="53"/>
      <c r="E11" s="8">
        <f>-('Fane 10. Bortfald'!C13+'Fane 10. Bortfald'!E13)</f>
        <v>0</v>
      </c>
      <c r="F11" s="53" t="s">
        <v>3</v>
      </c>
      <c r="G11" s="1"/>
    </row>
    <row r="12" spans="1:7" ht="17.25" customHeight="1" x14ac:dyDescent="0.25">
      <c r="A12" s="1"/>
      <c r="B12" s="24" t="s">
        <v>54</v>
      </c>
      <c r="C12" s="53"/>
      <c r="D12" s="53"/>
      <c r="E12" s="8">
        <f>'Fane 9. Tilknyttet virksomhed'!C12+'Fane 9. Tilknyttet virksomhed'!E12</f>
        <v>0</v>
      </c>
      <c r="F12" s="53" t="s">
        <v>3</v>
      </c>
      <c r="G12" s="1"/>
    </row>
    <row r="13" spans="1:7" ht="17.25" customHeight="1" x14ac:dyDescent="0.25">
      <c r="A13" s="1"/>
      <c r="B13" s="24" t="s">
        <v>17</v>
      </c>
      <c r="C13" s="53"/>
      <c r="D13" s="53"/>
      <c r="E13" s="8">
        <f>SUM(E9:E12)*'Fane 11. Nøgletal'!C15</f>
        <v>217544.5540022385</v>
      </c>
      <c r="F13" s="53" t="s">
        <v>3</v>
      </c>
      <c r="G13" s="1"/>
    </row>
    <row r="14" spans="1:7" ht="17.25" customHeight="1" x14ac:dyDescent="0.25">
      <c r="A14" s="1"/>
      <c r="B14" s="24" t="s">
        <v>44</v>
      </c>
      <c r="C14" s="53"/>
      <c r="D14" s="53"/>
      <c r="E14" s="8">
        <f>-SUM(E9,E10:E13)*'Fane 11. Nøgletal'!C20</f>
        <v>-107581.89275618565</v>
      </c>
      <c r="F14" s="53" t="s">
        <v>3</v>
      </c>
      <c r="G14" s="1"/>
    </row>
    <row r="15" spans="1:7" ht="15" customHeight="1" x14ac:dyDescent="0.25">
      <c r="A15" s="1"/>
      <c r="B15" s="66" t="s">
        <v>19</v>
      </c>
      <c r="C15" s="28"/>
      <c r="D15" s="28"/>
      <c r="E15" s="9">
        <f>SUM(E9,E10:E14)</f>
        <v>6220764.7399606174</v>
      </c>
      <c r="F15" s="57" t="s">
        <v>3</v>
      </c>
      <c r="G15" s="1"/>
    </row>
    <row r="16" spans="1:7" ht="15" customHeight="1" x14ac:dyDescent="0.25">
      <c r="A16" s="1"/>
      <c r="B16" s="56" t="s">
        <v>11</v>
      </c>
      <c r="C16" s="56"/>
      <c r="D16" s="56"/>
      <c r="E16" s="56"/>
      <c r="F16" s="56"/>
      <c r="G16" s="1"/>
    </row>
    <row r="17" spans="1:7" ht="15" customHeight="1" x14ac:dyDescent="0.25">
      <c r="A17" s="1"/>
      <c r="B17" s="57" t="s">
        <v>11</v>
      </c>
      <c r="C17" s="57"/>
      <c r="D17" s="57"/>
      <c r="E17" s="9">
        <f>'Fane 4. Ikke-påvirkelige omk.'!C14</f>
        <v>3545942.0420779348</v>
      </c>
      <c r="F17" s="57" t="s">
        <v>3</v>
      </c>
      <c r="G17" s="1"/>
    </row>
    <row r="18" spans="1:7" ht="15" customHeight="1" x14ac:dyDescent="0.25">
      <c r="A18" s="1"/>
      <c r="B18" s="56" t="s">
        <v>36</v>
      </c>
      <c r="C18" s="56"/>
      <c r="D18" s="56"/>
      <c r="E18" s="56"/>
      <c r="F18" s="56"/>
      <c r="G18" s="1"/>
    </row>
    <row r="19" spans="1:7" ht="15" customHeight="1" x14ac:dyDescent="0.25">
      <c r="A19" s="1"/>
      <c r="B19" s="24" t="s">
        <v>33</v>
      </c>
      <c r="C19" s="53"/>
      <c r="D19" s="53"/>
      <c r="E19" s="8">
        <f>'Fane 8.2. Engangstillæg'!C11</f>
        <v>0</v>
      </c>
      <c r="F19" s="53" t="s">
        <v>3</v>
      </c>
      <c r="G19" s="1"/>
    </row>
    <row r="20" spans="1:7" x14ac:dyDescent="0.25">
      <c r="A20" s="1"/>
      <c r="B20" s="24" t="s">
        <v>34</v>
      </c>
      <c r="C20" s="53"/>
      <c r="D20" s="53"/>
      <c r="E20" s="8">
        <f>'Fane 8.2. Engangstillæg'!E11</f>
        <v>0</v>
      </c>
      <c r="F20" s="53" t="s">
        <v>3</v>
      </c>
      <c r="G20" s="1"/>
    </row>
    <row r="21" spans="1:7" x14ac:dyDescent="0.25">
      <c r="A21" s="1"/>
      <c r="B21" s="24" t="s">
        <v>106</v>
      </c>
      <c r="C21" s="53"/>
      <c r="D21" s="53"/>
      <c r="E21" s="8">
        <f>-SUM(E19:E20)*'Fane 11. Nøgletal'!C20</f>
        <v>0</v>
      </c>
      <c r="F21" s="53" t="s">
        <v>3</v>
      </c>
      <c r="G21" s="1"/>
    </row>
    <row r="22" spans="1:7" ht="15" customHeight="1" x14ac:dyDescent="0.25">
      <c r="A22" s="1"/>
      <c r="B22" s="66" t="s">
        <v>37</v>
      </c>
      <c r="C22" s="28"/>
      <c r="D22" s="28"/>
      <c r="E22" s="9">
        <f>SUM(E19:E21)</f>
        <v>0</v>
      </c>
      <c r="F22" s="57" t="s">
        <v>3</v>
      </c>
      <c r="G22" s="1"/>
    </row>
    <row r="23" spans="1:7" x14ac:dyDescent="0.25">
      <c r="A23" s="1"/>
      <c r="B23" s="56" t="s">
        <v>62</v>
      </c>
      <c r="C23" s="56"/>
      <c r="D23" s="56"/>
      <c r="E23" s="56"/>
      <c r="F23" s="56"/>
      <c r="G23" s="1"/>
    </row>
    <row r="24" spans="1:7" x14ac:dyDescent="0.25">
      <c r="A24" s="1"/>
      <c r="B24" s="66" t="s">
        <v>63</v>
      </c>
      <c r="C24" s="31"/>
      <c r="D24" s="31"/>
      <c r="E24" s="9">
        <f>'Fane 5. Kontrol af ØR2021'!E30</f>
        <v>0</v>
      </c>
      <c r="F24" s="57" t="s">
        <v>3</v>
      </c>
      <c r="G24" s="1"/>
    </row>
    <row r="25" spans="1:7" x14ac:dyDescent="0.25">
      <c r="A25" s="1"/>
      <c r="B25" s="56" t="s">
        <v>75</v>
      </c>
      <c r="C25" s="56"/>
      <c r="D25" s="56"/>
      <c r="E25" s="56"/>
      <c r="F25" s="56"/>
      <c r="G25" s="1"/>
    </row>
    <row r="26" spans="1:7" x14ac:dyDescent="0.25">
      <c r="A26" s="1"/>
      <c r="B26" s="57" t="s">
        <v>76</v>
      </c>
      <c r="C26" s="57"/>
      <c r="D26" s="57"/>
      <c r="E26" s="9">
        <f>'Fane 6. Skattesagen'!G12</f>
        <v>0</v>
      </c>
      <c r="F26" s="57" t="s">
        <v>3</v>
      </c>
      <c r="G26" s="1"/>
    </row>
    <row r="27" spans="1:7" x14ac:dyDescent="0.25">
      <c r="A27" s="1"/>
      <c r="B27" s="56" t="s">
        <v>39</v>
      </c>
      <c r="C27" s="56"/>
      <c r="D27" s="56"/>
      <c r="E27" s="10">
        <f>SUM(E15:E17:E22:E24:E26)</f>
        <v>9766706.7820385527</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0NKFQWpHLtReV5p+b2TxIx5i9byAfzfAj1rxB2YFZ8JJzXrhe0ljBW0NV+LgRmswsqxNb8L30RBjCGM6Emprg==" saltValue="R5QAYvF2UWSulcKJe5YEf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56</v>
      </c>
      <c r="C8" s="53"/>
      <c r="D8" s="53"/>
      <c r="E8" s="7">
        <f>'Fane 2.1. Økonomisk ramme 2023'!E15</f>
        <v>6220764.7399606174</v>
      </c>
      <c r="F8" s="53" t="s">
        <v>3</v>
      </c>
      <c r="G8" s="1"/>
    </row>
    <row r="9" spans="1:7" ht="15" customHeight="1" x14ac:dyDescent="0.25">
      <c r="A9" s="1"/>
      <c r="B9" s="54" t="s">
        <v>17</v>
      </c>
      <c r="C9" s="53"/>
      <c r="D9" s="53"/>
      <c r="E9" s="8">
        <f>SUM(E8:E8)*'Fane 11. Nøgletal'!C15</f>
        <v>221459.22474259799</v>
      </c>
      <c r="F9" s="53" t="s">
        <v>3</v>
      </c>
      <c r="G9" s="1"/>
    </row>
    <row r="10" spans="1:7" ht="15" customHeight="1" x14ac:dyDescent="0.25">
      <c r="A10" s="1"/>
      <c r="B10" s="54" t="s">
        <v>44</v>
      </c>
      <c r="C10" s="53"/>
      <c r="D10" s="53"/>
      <c r="E10" s="8">
        <f>-SUM(E8:E9)*'Fane 11. Nøgletal'!C20</f>
        <v>-109517.80739995466</v>
      </c>
      <c r="F10" s="53" t="s">
        <v>3</v>
      </c>
      <c r="G10" s="1"/>
    </row>
    <row r="11" spans="1:7" ht="15" customHeight="1" x14ac:dyDescent="0.25">
      <c r="A11" s="1"/>
      <c r="B11" s="28" t="s">
        <v>19</v>
      </c>
      <c r="C11" s="28"/>
      <c r="D11" s="28"/>
      <c r="E11" s="9">
        <f>SUM(E8:E10)</f>
        <v>6332706.1573032606</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f>
        <v>3672177.5787759097</v>
      </c>
      <c r="F13" s="57" t="s">
        <v>3</v>
      </c>
      <c r="G13" s="1"/>
    </row>
    <row r="14" spans="1:7" x14ac:dyDescent="0.25">
      <c r="A14" s="1"/>
      <c r="B14" s="56" t="s">
        <v>62</v>
      </c>
      <c r="C14" s="56"/>
      <c r="D14" s="56"/>
      <c r="E14" s="56"/>
      <c r="F14" s="56"/>
      <c r="G14" s="1"/>
    </row>
    <row r="15" spans="1:7" x14ac:dyDescent="0.25">
      <c r="A15" s="1"/>
      <c r="B15" s="57" t="s">
        <v>77</v>
      </c>
      <c r="C15" s="32"/>
      <c r="D15" s="32"/>
      <c r="E15" s="9">
        <f>'Fane 5. Kontrol af ØR2021'!E30</f>
        <v>0</v>
      </c>
      <c r="F15" s="57" t="s">
        <v>3</v>
      </c>
      <c r="G15" s="1"/>
    </row>
    <row r="16" spans="1:7" x14ac:dyDescent="0.25">
      <c r="A16" s="1"/>
      <c r="B16" s="56" t="s">
        <v>75</v>
      </c>
      <c r="C16" s="56"/>
      <c r="D16" s="56"/>
      <c r="E16" s="56"/>
      <c r="F16" s="56"/>
      <c r="G16" s="1"/>
    </row>
    <row r="17" spans="1:7" x14ac:dyDescent="0.25">
      <c r="A17" s="1"/>
      <c r="B17" s="57" t="s">
        <v>76</v>
      </c>
      <c r="C17" s="57"/>
      <c r="D17" s="57"/>
      <c r="E17" s="9">
        <f>'Fane 6. Skattesagen'!G13</f>
        <v>0</v>
      </c>
      <c r="F17" s="57" t="s">
        <v>3</v>
      </c>
      <c r="G17" s="1"/>
    </row>
    <row r="18" spans="1:7" x14ac:dyDescent="0.25">
      <c r="A18" s="1"/>
      <c r="B18" s="56" t="s">
        <v>57</v>
      </c>
      <c r="C18" s="56"/>
      <c r="D18" s="56"/>
      <c r="E18" s="10">
        <f>SUM(E11,E13,E15,E17)</f>
        <v>10004883.736079171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MHI/sdvfYFtDLj7RYfpg9kikngy1AE/b/XSDme2ZGsMYsy1+t6O9FZiKYqw2tehfaGdbVklWqdHZp9wbkNbZ/g==" saltValue="vf2sp5VtcWziApTS5PXRS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65</v>
      </c>
      <c r="C8" s="53"/>
      <c r="D8" s="53"/>
      <c r="E8" s="7">
        <f>'Fane 2.2. Økonomisk ramme 2024'!E11</f>
        <v>6332706.1573032606</v>
      </c>
      <c r="F8" s="53" t="s">
        <v>3</v>
      </c>
      <c r="G8" s="1"/>
    </row>
    <row r="9" spans="1:7" ht="15" customHeight="1" x14ac:dyDescent="0.25">
      <c r="A9" s="1"/>
      <c r="B9" s="54" t="s">
        <v>17</v>
      </c>
      <c r="C9" s="53"/>
      <c r="D9" s="53"/>
      <c r="E9" s="8">
        <f>SUM(E8:E8)*'Fane 11. Nøgletal'!C15</f>
        <v>225444.33919999609</v>
      </c>
      <c r="F9" s="53" t="s">
        <v>3</v>
      </c>
      <c r="G9" s="1"/>
    </row>
    <row r="10" spans="1:7" ht="15" customHeight="1" x14ac:dyDescent="0.25">
      <c r="A10" s="1"/>
      <c r="B10" s="54" t="s">
        <v>44</v>
      </c>
      <c r="C10" s="53"/>
      <c r="D10" s="53"/>
      <c r="E10" s="8">
        <f>-SUM(E8:E9)*'Fane 11. Nøgletal'!C20</f>
        <v>-111488.55844055537</v>
      </c>
      <c r="F10" s="53" t="s">
        <v>3</v>
      </c>
      <c r="G10" s="1"/>
    </row>
    <row r="11" spans="1:7" x14ac:dyDescent="0.25">
      <c r="A11" s="1"/>
      <c r="B11" s="28" t="s">
        <v>19</v>
      </c>
      <c r="C11" s="28"/>
      <c r="D11" s="28"/>
      <c r="E11" s="9">
        <f>SUM(E8:E10)</f>
        <v>6446661.9380627004</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Nøgletal'!C15)^2</f>
        <v>3802907.1005803319</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Skattesagen'!G14</f>
        <v>0</v>
      </c>
      <c r="F17" s="57" t="s">
        <v>3</v>
      </c>
      <c r="G17" s="1"/>
    </row>
    <row r="18" spans="1:7" x14ac:dyDescent="0.25">
      <c r="A18" s="1"/>
      <c r="B18" s="56" t="s">
        <v>66</v>
      </c>
      <c r="C18" s="56"/>
      <c r="D18" s="56"/>
      <c r="E18" s="10">
        <f>SUM(E11,E13,E15,E17)</f>
        <v>10249569.038643032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39rIgcubxwZ7QJrQ3HENBy1SZQD17um19FhkSWxe+WfLGrklcZ5VmCkqdrPU8nB+gsoDa2C63ipGg8u8+ZtRKQ==" saltValue="EsCkbn26k3h0goq1P7oZ6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6" t="s">
        <v>12</v>
      </c>
      <c r="C7" s="56"/>
      <c r="D7" s="56"/>
      <c r="E7" s="56"/>
      <c r="F7" s="56"/>
      <c r="G7" s="1"/>
    </row>
    <row r="8" spans="1:7" ht="15" customHeight="1" x14ac:dyDescent="0.25">
      <c r="A8" s="1"/>
      <c r="B8" s="53" t="s">
        <v>86</v>
      </c>
      <c r="C8" s="53"/>
      <c r="D8" s="53"/>
      <c r="E8" s="7">
        <f>'Fane 2.3. Økonomisk ramme 2025'!E11</f>
        <v>6446661.9380627004</v>
      </c>
      <c r="F8" s="53" t="s">
        <v>3</v>
      </c>
      <c r="G8" s="1"/>
    </row>
    <row r="9" spans="1:7" ht="15" customHeight="1" x14ac:dyDescent="0.25">
      <c r="A9" s="1"/>
      <c r="B9" s="54" t="s">
        <v>17</v>
      </c>
      <c r="C9" s="53"/>
      <c r="D9" s="53"/>
      <c r="E9" s="8">
        <f>SUM(E8:E8)*'Fane 11. Nøgletal'!C15</f>
        <v>229501.16499503213</v>
      </c>
      <c r="F9" s="53" t="s">
        <v>3</v>
      </c>
      <c r="G9" s="1"/>
    </row>
    <row r="10" spans="1:7" ht="15" customHeight="1" x14ac:dyDescent="0.25">
      <c r="A10" s="1"/>
      <c r="B10" s="54" t="s">
        <v>44</v>
      </c>
      <c r="C10" s="53"/>
      <c r="D10" s="53"/>
      <c r="E10" s="8">
        <f>-SUM(E8:E9)*'Fane 11. Nøgletal'!C20</f>
        <v>-113494.77275198147</v>
      </c>
      <c r="F10" s="53" t="s">
        <v>3</v>
      </c>
      <c r="G10" s="1"/>
    </row>
    <row r="11" spans="1:7" x14ac:dyDescent="0.25">
      <c r="A11" s="1"/>
      <c r="B11" s="28" t="s">
        <v>19</v>
      </c>
      <c r="C11" s="28"/>
      <c r="D11" s="28"/>
      <c r="E11" s="9">
        <f>SUM(E8:E10)</f>
        <v>6562668.3303057514</v>
      </c>
      <c r="F11" s="57" t="s">
        <v>3</v>
      </c>
      <c r="G11" s="1"/>
    </row>
    <row r="12" spans="1:7" x14ac:dyDescent="0.25">
      <c r="A12" s="1"/>
      <c r="B12" s="56" t="s">
        <v>11</v>
      </c>
      <c r="C12" s="56"/>
      <c r="D12" s="56"/>
      <c r="E12" s="56"/>
      <c r="F12" s="56"/>
      <c r="G12" s="1"/>
    </row>
    <row r="13" spans="1:7" ht="15" customHeight="1" x14ac:dyDescent="0.25">
      <c r="A13" s="1"/>
      <c r="B13" s="57" t="s">
        <v>11</v>
      </c>
      <c r="C13" s="57"/>
      <c r="D13" s="57"/>
      <c r="E13" s="9">
        <f>'Fane 4. Ikke-påvirkelige omk.'!C14*(1+'Fane 11. Nøgletal'!C15)^3</f>
        <v>3938290.5933609921</v>
      </c>
      <c r="F13" s="57" t="s">
        <v>3</v>
      </c>
      <c r="G13" s="1"/>
    </row>
    <row r="14" spans="1:7" ht="15" customHeight="1" x14ac:dyDescent="0.25">
      <c r="A14" s="1"/>
      <c r="B14" s="56" t="s">
        <v>62</v>
      </c>
      <c r="C14" s="56"/>
      <c r="D14" s="56"/>
      <c r="E14" s="56"/>
      <c r="F14" s="56"/>
      <c r="G14" s="1"/>
    </row>
    <row r="15" spans="1:7" ht="15" customHeight="1" x14ac:dyDescent="0.25">
      <c r="A15" s="1"/>
      <c r="B15" s="57" t="s">
        <v>63</v>
      </c>
      <c r="C15" s="32"/>
      <c r="D15" s="32"/>
      <c r="E15" s="9">
        <v>0</v>
      </c>
      <c r="F15" s="57" t="s">
        <v>3</v>
      </c>
      <c r="G15" s="1"/>
    </row>
    <row r="16" spans="1:7" ht="15" customHeight="1" x14ac:dyDescent="0.25">
      <c r="A16" s="1"/>
      <c r="B16" s="56" t="s">
        <v>75</v>
      </c>
      <c r="C16" s="56"/>
      <c r="D16" s="56"/>
      <c r="E16" s="56"/>
      <c r="F16" s="56"/>
      <c r="G16" s="1"/>
    </row>
    <row r="17" spans="1:7" ht="15" customHeight="1" x14ac:dyDescent="0.25">
      <c r="A17" s="1"/>
      <c r="B17" s="57" t="s">
        <v>76</v>
      </c>
      <c r="C17" s="57"/>
      <c r="D17" s="57"/>
      <c r="E17" s="9">
        <f>'Fane 6. Skattesagen'!G15</f>
        <v>0</v>
      </c>
      <c r="F17" s="57" t="s">
        <v>3</v>
      </c>
      <c r="G17" s="1"/>
    </row>
    <row r="18" spans="1:7" x14ac:dyDescent="0.25">
      <c r="A18" s="1"/>
      <c r="B18" s="56" t="s">
        <v>87</v>
      </c>
      <c r="C18" s="56"/>
      <c r="D18" s="56"/>
      <c r="E18" s="10">
        <f>SUM(E11,E13,E15,E17)</f>
        <v>10500958.923666744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0J13W4ED2gtBqgcaFoFUX6AUY99WYconwdJ+FUhXV2RPtCcSZOpIsVX4dHjcVyruX3lW72+MlQCA2xTUNPUa+Q==" saltValue="cAQ2L1cDVHKVqJuzkiZ8j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6" t="s">
        <v>89</v>
      </c>
      <c r="C8" s="56"/>
      <c r="D8" s="56"/>
      <c r="E8" s="56"/>
      <c r="F8" s="56"/>
      <c r="G8" s="1"/>
    </row>
    <row r="9" spans="1:7" x14ac:dyDescent="0.25">
      <c r="A9" s="1"/>
      <c r="B9" s="93" t="s">
        <v>22</v>
      </c>
      <c r="C9" s="93"/>
      <c r="D9" s="93"/>
      <c r="E9" s="7">
        <v>6141555.3027374921</v>
      </c>
      <c r="F9" s="53" t="s">
        <v>3</v>
      </c>
      <c r="G9" s="1"/>
    </row>
    <row r="10" spans="1:7" x14ac:dyDescent="0.25">
      <c r="A10" s="1"/>
      <c r="B10" s="95" t="s">
        <v>103</v>
      </c>
      <c r="C10" s="96"/>
      <c r="D10" s="97"/>
      <c r="E10" s="7">
        <v>0</v>
      </c>
      <c r="F10" s="53" t="s">
        <v>3</v>
      </c>
      <c r="G10" s="1"/>
    </row>
    <row r="11" spans="1:7" x14ac:dyDescent="0.25">
      <c r="A11" s="1"/>
      <c r="B11" s="94" t="s">
        <v>50</v>
      </c>
      <c r="C11" s="94"/>
      <c r="D11" s="94"/>
      <c r="E11" s="7">
        <v>0</v>
      </c>
      <c r="F11" s="53" t="s">
        <v>3</v>
      </c>
      <c r="G11" s="1"/>
    </row>
    <row r="12" spans="1:7" x14ac:dyDescent="0.25">
      <c r="A12" s="1"/>
      <c r="B12" s="94" t="s">
        <v>54</v>
      </c>
      <c r="C12" s="94"/>
      <c r="D12" s="94"/>
      <c r="E12" s="7">
        <v>0</v>
      </c>
      <c r="F12" s="53" t="s">
        <v>3</v>
      </c>
      <c r="G12" s="1"/>
    </row>
    <row r="13" spans="1:7" x14ac:dyDescent="0.25">
      <c r="A13" s="1"/>
      <c r="B13" s="94" t="s">
        <v>51</v>
      </c>
      <c r="C13" s="94"/>
      <c r="D13" s="94"/>
      <c r="E13" s="8">
        <v>0</v>
      </c>
      <c r="F13" s="53" t="s">
        <v>3</v>
      </c>
      <c r="G13" s="1"/>
    </row>
    <row r="14" spans="1:7" x14ac:dyDescent="0.25">
      <c r="A14" s="1"/>
      <c r="B14" s="94" t="s">
        <v>17</v>
      </c>
      <c r="C14" s="94"/>
      <c r="D14" s="94"/>
      <c r="E14" s="8">
        <f>E9*'Fane 11. Nøgletal'!C13+SUM(E11:E13)*'Fane 11. Nøgletal'!C14</f>
        <v>74926.974693397409</v>
      </c>
      <c r="F14" s="53" t="s">
        <v>3</v>
      </c>
      <c r="G14" s="1"/>
    </row>
    <row r="15" spans="1:7" x14ac:dyDescent="0.25">
      <c r="A15" s="1"/>
      <c r="B15" s="94" t="s">
        <v>44</v>
      </c>
      <c r="C15" s="94"/>
      <c r="D15" s="94"/>
      <c r="E15" s="8">
        <f>-SUM(E9:E14)*'Fane 11. Nøgletal'!C20</f>
        <v>-105680.19871632512</v>
      </c>
      <c r="F15" s="53" t="s">
        <v>3</v>
      </c>
      <c r="G15" s="1"/>
    </row>
    <row r="16" spans="1:7" x14ac:dyDescent="0.25">
      <c r="A16" s="1"/>
      <c r="B16" s="99" t="s">
        <v>19</v>
      </c>
      <c r="C16" s="99"/>
      <c r="D16" s="99"/>
      <c r="E16" s="33">
        <f>SUM(E9:E15)</f>
        <v>6110802.0787145644</v>
      </c>
      <c r="F16" s="34" t="s">
        <v>3</v>
      </c>
      <c r="G16" s="1"/>
    </row>
    <row r="17" spans="1:7" x14ac:dyDescent="0.25">
      <c r="A17" s="1"/>
      <c r="B17" s="100" t="s">
        <v>11</v>
      </c>
      <c r="C17" s="100"/>
      <c r="D17" s="100"/>
      <c r="E17" s="56"/>
      <c r="F17" s="56"/>
      <c r="G17" s="1"/>
    </row>
    <row r="18" spans="1:7" x14ac:dyDescent="0.25">
      <c r="A18" s="1"/>
      <c r="B18" s="101" t="s">
        <v>11</v>
      </c>
      <c r="C18" s="101"/>
      <c r="D18" s="101"/>
      <c r="E18" s="9">
        <v>3057541.3205502904</v>
      </c>
      <c r="F18" s="57" t="s">
        <v>3</v>
      </c>
      <c r="G18" s="1"/>
    </row>
    <row r="19" spans="1:7" ht="15.4" customHeight="1" x14ac:dyDescent="0.25">
      <c r="A19" s="1"/>
      <c r="B19" s="56" t="s">
        <v>36</v>
      </c>
      <c r="C19" s="56"/>
      <c r="D19" s="56"/>
      <c r="E19" s="56"/>
      <c r="F19" s="56"/>
      <c r="G19" s="1"/>
    </row>
    <row r="20" spans="1:7" ht="15.75" customHeight="1" x14ac:dyDescent="0.25">
      <c r="A20" s="1"/>
      <c r="B20" s="102" t="s">
        <v>33</v>
      </c>
      <c r="C20" s="103"/>
      <c r="D20" s="104"/>
      <c r="E20" s="74">
        <v>0</v>
      </c>
      <c r="F20" s="27" t="s">
        <v>3</v>
      </c>
      <c r="G20" s="1"/>
    </row>
    <row r="21" spans="1:7" x14ac:dyDescent="0.25">
      <c r="A21" s="1"/>
      <c r="B21" s="102" t="s">
        <v>34</v>
      </c>
      <c r="C21" s="103"/>
      <c r="D21" s="104"/>
      <c r="E21" s="74">
        <v>0</v>
      </c>
      <c r="F21" s="27" t="s">
        <v>3</v>
      </c>
      <c r="G21" s="1"/>
    </row>
    <row r="22" spans="1:7" x14ac:dyDescent="0.25">
      <c r="A22" s="1"/>
      <c r="B22" s="105" t="s">
        <v>37</v>
      </c>
      <c r="C22" s="106"/>
      <c r="D22" s="107"/>
      <c r="E22" s="9">
        <f>SUM(E20:E21)</f>
        <v>0</v>
      </c>
      <c r="F22" s="9" t="s">
        <v>3</v>
      </c>
      <c r="G22" s="1"/>
    </row>
    <row r="23" spans="1:7" ht="15.75" customHeight="1" x14ac:dyDescent="0.25">
      <c r="A23" s="1"/>
      <c r="B23" s="56" t="s">
        <v>62</v>
      </c>
      <c r="C23" s="56"/>
      <c r="D23" s="56"/>
      <c r="E23" s="56"/>
      <c r="F23" s="56"/>
      <c r="G23" s="1"/>
    </row>
    <row r="24" spans="1:7" x14ac:dyDescent="0.25">
      <c r="A24" s="1"/>
      <c r="B24" s="66" t="s">
        <v>27</v>
      </c>
      <c r="C24" s="28"/>
      <c r="D24" s="28"/>
      <c r="E24" s="9">
        <v>395208.11760000041</v>
      </c>
      <c r="F24" s="57" t="s">
        <v>3</v>
      </c>
      <c r="G24" s="1"/>
    </row>
    <row r="25" spans="1:7" x14ac:dyDescent="0.25">
      <c r="A25" s="1"/>
      <c r="B25" s="66" t="s">
        <v>63</v>
      </c>
      <c r="C25" s="28"/>
      <c r="D25" s="28"/>
      <c r="E25" s="9">
        <v>0</v>
      </c>
      <c r="F25" s="57" t="s">
        <v>3</v>
      </c>
      <c r="G25" s="1"/>
    </row>
    <row r="26" spans="1:7" x14ac:dyDescent="0.25">
      <c r="A26" s="1"/>
      <c r="B26" s="56" t="s">
        <v>75</v>
      </c>
      <c r="C26" s="56"/>
      <c r="D26" s="56"/>
      <c r="E26" s="56"/>
      <c r="F26" s="56"/>
      <c r="G26" s="1"/>
    </row>
    <row r="27" spans="1:7" x14ac:dyDescent="0.25">
      <c r="A27" s="1"/>
      <c r="B27" s="108" t="s">
        <v>76</v>
      </c>
      <c r="C27" s="109"/>
      <c r="D27" s="110"/>
      <c r="E27" s="9">
        <f>'Fane 6. Skattesagen'!G11</f>
        <v>0</v>
      </c>
      <c r="F27" s="57" t="s">
        <v>3</v>
      </c>
      <c r="G27" s="1"/>
    </row>
    <row r="28" spans="1:7" ht="15" customHeight="1" x14ac:dyDescent="0.25">
      <c r="A28" s="1"/>
      <c r="B28" s="35" t="s">
        <v>147</v>
      </c>
      <c r="C28" s="35"/>
      <c r="D28" s="35"/>
      <c r="E28" s="36">
        <f>E16+E18+E22+E24+E25+E27</f>
        <v>9563551.5168648548</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fIKxi03NVbfyQmBRjnsHKCsUPSB4B6ytcznhrNqZYOPiXU0s5hYa3tGlZ0lDHoykgZswlkTiqo8Ne2jSp53kg==" saltValue="zddmbv7FMecdUEvLyHZlO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7" t="s">
        <v>109</v>
      </c>
      <c r="D9" s="57"/>
      <c r="E9" s="1"/>
      <c r="F9" s="1"/>
    </row>
    <row r="10" spans="1:6" x14ac:dyDescent="0.25">
      <c r="A10" s="1"/>
      <c r="B10" s="23" t="s">
        <v>127</v>
      </c>
      <c r="C10" s="8">
        <v>3279237</v>
      </c>
      <c r="D10" s="12" t="s">
        <v>3</v>
      </c>
      <c r="E10" s="1"/>
      <c r="F10" s="1"/>
    </row>
    <row r="11" spans="1:6" x14ac:dyDescent="0.25">
      <c r="A11" s="1"/>
      <c r="B11" s="23" t="s">
        <v>128</v>
      </c>
      <c r="C11" s="8">
        <v>15983</v>
      </c>
      <c r="D11" s="12" t="s">
        <v>3</v>
      </c>
      <c r="E11" s="1"/>
      <c r="F11" s="1"/>
    </row>
    <row r="12" spans="1:6" x14ac:dyDescent="0.25">
      <c r="A12" s="1"/>
      <c r="B12" s="23" t="s">
        <v>129</v>
      </c>
      <c r="C12" s="8">
        <v>11120.29</v>
      </c>
      <c r="D12" s="12" t="s">
        <v>3</v>
      </c>
      <c r="E12" s="1"/>
      <c r="F12" s="1"/>
    </row>
    <row r="13" spans="1:6" x14ac:dyDescent="0.25">
      <c r="A13" s="1"/>
      <c r="B13" s="72" t="s">
        <v>92</v>
      </c>
      <c r="C13" s="10">
        <f>SUM(C10:C12)</f>
        <v>3306340.29</v>
      </c>
      <c r="D13" s="11" t="s">
        <v>3</v>
      </c>
      <c r="E13" s="1"/>
      <c r="F13" s="1"/>
    </row>
    <row r="14" spans="1:6" x14ac:dyDescent="0.25">
      <c r="A14" s="1"/>
      <c r="B14" s="72" t="s">
        <v>93</v>
      </c>
      <c r="C14" s="10">
        <f>C13*(1+'Fane 11. Nøgletal'!C15)^2</f>
        <v>3545942.0420779348</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coJAsKPBAviw4XkLgoJPrYqdwR9Paeo7nykL2lUJDKMkIx4q1rs14oh1SvklvPF7U4GV8gutvgOz5E4BNAkBEQ==" saltValue="vZTxpA7HiPkknSmBuosjO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151</v>
      </c>
      <c r="C3" s="92"/>
      <c r="D3" s="92"/>
      <c r="E3" s="92"/>
      <c r="F3" s="92"/>
      <c r="G3" s="1"/>
    </row>
    <row r="4" spans="1:7" ht="15" customHeight="1" x14ac:dyDescent="0.25">
      <c r="A4" s="1"/>
      <c r="B4" s="92"/>
      <c r="C4" s="92"/>
      <c r="D4" s="92"/>
      <c r="E4" s="92"/>
      <c r="F4" s="92"/>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2649780.3778317086</v>
      </c>
      <c r="F9" s="12" t="s">
        <v>3</v>
      </c>
      <c r="G9" s="1"/>
    </row>
    <row r="10" spans="1:7" x14ac:dyDescent="0.25">
      <c r="A10" s="1"/>
      <c r="B10" s="118" t="s">
        <v>130</v>
      </c>
      <c r="C10" s="119"/>
      <c r="D10" s="120"/>
      <c r="E10" s="8">
        <v>2649780.3778317086</v>
      </c>
      <c r="F10" s="12" t="s">
        <v>3</v>
      </c>
      <c r="G10" s="1"/>
    </row>
    <row r="11" spans="1:7" x14ac:dyDescent="0.25">
      <c r="A11" s="1"/>
      <c r="B11" s="72"/>
      <c r="C11" s="22"/>
      <c r="D11" s="22"/>
      <c r="E11" s="22"/>
      <c r="F11" s="73"/>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131</v>
      </c>
      <c r="C16" s="119"/>
      <c r="D16" s="120"/>
      <c r="E16" s="8">
        <v>0</v>
      </c>
      <c r="F16" s="12" t="s">
        <v>3</v>
      </c>
      <c r="G16" s="1"/>
    </row>
    <row r="17" spans="1:7" x14ac:dyDescent="0.25">
      <c r="A17" s="1"/>
      <c r="B17" s="72"/>
      <c r="C17" s="22"/>
      <c r="D17" s="22"/>
      <c r="E17" s="22"/>
      <c r="F17" s="73"/>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10224134.161925454</v>
      </c>
      <c r="F21" s="12" t="s">
        <v>3</v>
      </c>
      <c r="G21" s="1"/>
    </row>
    <row r="22" spans="1:7" x14ac:dyDescent="0.25">
      <c r="A22" s="1"/>
      <c r="B22" s="67" t="s">
        <v>132</v>
      </c>
      <c r="C22" s="68"/>
      <c r="D22" s="69"/>
      <c r="E22" s="8">
        <v>7441260.4500000002</v>
      </c>
      <c r="F22" s="12" t="s">
        <v>3</v>
      </c>
      <c r="G22" s="1"/>
    </row>
    <row r="23" spans="1:7" x14ac:dyDescent="0.25">
      <c r="A23" s="1"/>
      <c r="B23" s="67" t="s">
        <v>26</v>
      </c>
      <c r="C23" s="68"/>
      <c r="D23" s="69"/>
      <c r="E23" s="8">
        <v>0</v>
      </c>
      <c r="F23" s="12" t="s">
        <v>3</v>
      </c>
      <c r="G23" s="1"/>
    </row>
    <row r="24" spans="1:7" x14ac:dyDescent="0.25">
      <c r="A24" s="1"/>
      <c r="B24" s="58" t="s">
        <v>150</v>
      </c>
      <c r="C24" s="59"/>
      <c r="D24" s="60"/>
      <c r="E24" s="51">
        <f>E21-(E22-E23)</f>
        <v>2782873.7119254535</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133</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0</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0</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B36" s="30"/>
      <c r="C36" s="30"/>
      <c r="D36" s="30"/>
      <c r="E36" s="30"/>
      <c r="F36" s="30"/>
    </row>
    <row r="37" spans="1:7" x14ac:dyDescent="0.25">
      <c r="A37" s="30"/>
      <c r="B37" s="30"/>
      <c r="C37" s="30"/>
      <c r="D37" s="30"/>
      <c r="E37" s="30"/>
      <c r="F37" s="30"/>
      <c r="G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sheetData>
  <sheetProtection algorithmName="SHA-512" hashValue="x0uVhO0KY3tCoiB0Du3FrxbjlHt2lqLi/faeYESggHIWdbVZMiSxBiiXuWAtoOGUfyvsx82AiC37PimMDdgBnw==" saltValue="Yc3ND4kKlaj9he7Ykeu9X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139</v>
      </c>
      <c r="C10" s="96"/>
      <c r="D10" s="96"/>
      <c r="E10" s="96"/>
      <c r="F10" s="97"/>
      <c r="G10" s="50">
        <v>0</v>
      </c>
      <c r="H10" s="8" t="s">
        <v>3</v>
      </c>
      <c r="I10" s="1"/>
    </row>
    <row r="11" spans="1:9" x14ac:dyDescent="0.25">
      <c r="A11" s="1"/>
      <c r="B11" s="95" t="s">
        <v>140</v>
      </c>
      <c r="C11" s="96"/>
      <c r="D11" s="96"/>
      <c r="E11" s="96"/>
      <c r="F11" s="97"/>
      <c r="G11" s="50">
        <v>0</v>
      </c>
      <c r="H11" s="8" t="s">
        <v>3</v>
      </c>
      <c r="I11" s="1"/>
    </row>
    <row r="12" spans="1:9" x14ac:dyDescent="0.25">
      <c r="A12" s="1"/>
      <c r="B12" s="95" t="s">
        <v>141</v>
      </c>
      <c r="C12" s="96"/>
      <c r="D12" s="96"/>
      <c r="E12" s="96"/>
      <c r="F12" s="97"/>
      <c r="G12" s="8">
        <v>0</v>
      </c>
      <c r="H12" s="8" t="s">
        <v>3</v>
      </c>
      <c r="I12" s="1"/>
    </row>
    <row r="13" spans="1:9" x14ac:dyDescent="0.25">
      <c r="A13" s="1"/>
      <c r="B13" s="95" t="s">
        <v>142</v>
      </c>
      <c r="C13" s="96"/>
      <c r="D13" s="96"/>
      <c r="E13" s="96"/>
      <c r="F13" s="97"/>
      <c r="G13" s="8">
        <v>0</v>
      </c>
      <c r="H13" s="8" t="s">
        <v>3</v>
      </c>
      <c r="I13" s="1"/>
    </row>
    <row r="14" spans="1:9" x14ac:dyDescent="0.25">
      <c r="A14" s="1"/>
      <c r="B14" s="95" t="s">
        <v>143</v>
      </c>
      <c r="C14" s="96"/>
      <c r="D14" s="96"/>
      <c r="E14" s="96"/>
      <c r="F14" s="97"/>
      <c r="G14" s="8">
        <v>0</v>
      </c>
      <c r="H14" s="8" t="s">
        <v>3</v>
      </c>
      <c r="I14" s="1"/>
    </row>
    <row r="15" spans="1:9" x14ac:dyDescent="0.25">
      <c r="A15" s="1"/>
      <c r="B15" s="95" t="s">
        <v>144</v>
      </c>
      <c r="C15" s="96"/>
      <c r="D15" s="96"/>
      <c r="E15" s="96"/>
      <c r="F15" s="97"/>
      <c r="G15" s="8">
        <v>0</v>
      </c>
      <c r="H15" s="8" t="s">
        <v>3</v>
      </c>
      <c r="I15" s="1"/>
    </row>
    <row r="16" spans="1:9" x14ac:dyDescent="0.25">
      <c r="A16" s="1"/>
      <c r="B16" s="95" t="s">
        <v>145</v>
      </c>
      <c r="C16" s="96"/>
      <c r="D16" s="96"/>
      <c r="E16" s="96"/>
      <c r="F16" s="97"/>
      <c r="G16" s="8">
        <v>0</v>
      </c>
      <c r="H16" s="8" t="s">
        <v>3</v>
      </c>
      <c r="I16" s="1"/>
    </row>
    <row r="17" spans="1:9" x14ac:dyDescent="0.25">
      <c r="A17" s="1"/>
      <c r="B17" s="95" t="s">
        <v>146</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iMY+BPLCVGNBo1bN0Ch0UwzmHHffCANt0aTTwCDRxdoSmbkpAI7cLCj9Ni3/YhKDsjUwlU3fBRdOAl+oQrgWwg==" saltValue="VdV6uEX3F1ewssXlCcmuT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2022-10-06T08:16:02Z</dcterms:modified>
</cp:coreProperties>
</file>