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Novafos Vand Gentofte AS (V061)\ØR2025\"/>
    </mc:Choice>
  </mc:AlternateContent>
  <xr:revisionPtr revIDLastSave="0" documentId="13_ncr:1_{4C2636D5-0B40-4FB1-849A-C1868BB86A04}" xr6:coauthVersionLast="36" xr6:coauthVersionMax="36" xr10:uidLastSave="{00000000-0000-0000-0000-000000000000}"/>
  <bookViews>
    <workbookView xWindow="3108" yWindow="996" windowWidth="12732"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<sst xmlns="http://schemas.openxmlformats.org/spreadsheetml/2006/main" count="454" uniqueCount="209">
  <si>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</si>
  <si>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</si>
  <si>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</si>
  <si>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</si>
  <si>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</si>
  <si>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</si>
  <si>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</si>
  <si>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</si>
  <si>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</si>
  <si>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</si>
  <si>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</si>
  <si>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</si>
  <si>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</si>
  <si>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</si>
  <si>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</si>
  <si>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</si>
  <si>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</si>
  <si>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</si>
  <si>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</si>
  <si>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</si>
  <si>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</si>
  <si>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</si>
  <si>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</si>
  <si>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</si>
  <si>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</si>
  <si>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</si>
  <si>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</si>
  <si>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</si>
  <si>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</si>
  <si>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</si>
  <si>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</si>
  <si>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</si>
  <si>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</si>
  <si>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</si>
  <si>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</si>
  <si>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</si>
  <si>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</si>
  <si>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</si>
  <si>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</si>
  <si>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</si>
  <si>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</si>
  <si>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</si>
  <si>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</si>
  <si>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</si>
  <si>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</si>
  <si>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</si>
  <si>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</si>
  <si>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</si>
  <si>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</si>
  <si>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</si>
  <si>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</si>
  <si>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</si>
  <si>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</si>
  <si>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</si>
  <si>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</si>
  <si>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</si>
  <si>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</si>
  <si>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</si>
  <si>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</si>
  <si>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</si>
  <si>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</si>
  <si>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</si>
  <si>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</si>
  <si>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</si>
  <si>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</si>
  <si>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</si>
  <si>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</si>
  <si>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</si>
  <si>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</si>
  <si>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</si>
  <si>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</si>
  <si>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</si>
  <si>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</si>
  <si>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</si>
  <si>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</si>
  <si>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</si>
  <si>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</si>
  <si>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</si>
  <si>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</si>
  <si>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</si>
  <si>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</si>
  <si>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</si>
  <si>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</si>
  <si>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</si>
  <si>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</si>
  <si>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</si>
  <si>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</si>
  <si>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</si>
  <si>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</si>
  <si>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</si>
  <si>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</si>
  <si>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</si>
  <si>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</si>
  <si>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</si>
  <si>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</si>
  <si>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</si>
  <si>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</si>
  <si>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</si>
  <si>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</si>
  <si>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</si>
  <si>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</si>
  <si>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</si>
  <si>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</si>
  <si>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</si>
  <si>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</si>
  <si>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</si>
  <si>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</si>
  <si>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</si>
  <si>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</si>
  <si>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</si>
  <si>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</si>
  <si>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</si>
  <si>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</si>
  <si>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</si>
  <si>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</si>
  <si>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</si>
  <si>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</si>
  <si>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</si>
  <si>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</si>
  <si>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</si>
  <si>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</si>
  <si>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</si>
  <si>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</si>
  <si>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</si>
  <si>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</si>
  <si>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</si>
  <si>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</si>
  <si>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</si>
  <si>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</si>
  <si>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</si>
  <si>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</si>
  <si>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</si>
  <si>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</si>
  <si>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</si>
  <si>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</si>
  <si>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</si>
  <si>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</si>
  <si>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</si>
  <si>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</si>
  <si>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</si>
  <si>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</si>
  <si>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</si>
  <si>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</si>
  <si>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</si>
  <si>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</si>
  <si>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</si>
  <si>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</si>
  <si>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</si>
  <si>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</si>
  <si>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</si>
  <si>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</si>
  <si>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</si>
  <si>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</si>
  <si>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</si>
  <si>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</si>
  <si>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</si>
  <si>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</si>
  <si>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</si>
  <si>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</si>
  <si>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</si>
  <si>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</si>
  <si>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</si>
  <si>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</si>
  <si>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</si>
  <si>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</si>
  <si>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</si>
  <si>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</si>
  <si>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</si>
  <si>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</si>
  <si>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</si>
  <si>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</si>
  <si>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</si>
  <si>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</si>
  <si>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</si>
  <si>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</si>
  <si>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</si>
  <si>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</si>
  <si>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</si>
  <si>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</si>
  <si>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</si>
  <si>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</si>
  <si>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</si>
  <si>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</si>
  <si>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</si>
  <si>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</si>
  <si>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</si>
  <si>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</si>
  <si>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</si>
  <si>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</si>
  <si>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</si>
  <si>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</si>
  <si>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</si>
  <si>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</si>
  <si>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</si>
  <si>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</si>
  <si>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</si>
  <si>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</si>
  <si>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</si>
  <si>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</si>
  <si>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</si>
  <si>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</si>
  <si>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</si>
  <si>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</si>
  <si>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Tjenestemandspensioner</t>
  </si>
  <si>
    <t>Øvrige afgifter</t>
  </si>
  <si>
    <t>VGE Fjernaflæste målere</t>
  </si>
  <si>
    <t xml:space="preserve">VGE Ignition </t>
  </si>
  <si>
    <t>VGE Byggemodning og Stiketableringer</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</si>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</sst>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
      <c r="C3" s="1"/>
      <c r="D3" s="1"/>
      <c r="E3" s="1"/>
      <c r="F3" s="1"/>
      <c r="G3" s="1"/>
    </row>
    <row r="4" spans="1:7" ht="15" customHeight="1" x14ac:dyDescent="0.3">
      <c r="A4" s="1"/>
      <c r="B4" s="1"/>
      <c r="C4" s="1"/>
      <c r="D4" s="1"/>
      <c r="E4" s="1"/>
      <c r="F4" s="1"/>
      <c r="G4" s="1"/>
    </row>
    <row r="5" spans="1:7" x14ac:dyDescent="0.3">
      <c r="A5" s="1"/>
      <c r="B5" s="1"/>
      <c r="C5" s="1"/>
      <c r="D5" s="1"/>
      <c r="E5" s="1"/>
      <c r="F5" s="1"/>
      <c r="G5" s="1"/>
    </row>
    <row r="6" spans="1:7" ht="15" customHeight="1" x14ac:dyDescent="0.3">
      <c r="A6" s="1"/>
      <c r="B6" s="3"/>
      <c r="C6" s="79" t="s">
        <v>4</v>
      </c>
      <c r="D6" s="79"/>
      <c r="E6" s="79"/>
      <c r="F6" s="79"/>
      <c r="G6" s="1"/>
    </row>
    <row r="7" spans="1:7" ht="15" customHeight="1" x14ac:dyDescent="0.3">
      <c r="A7" s="1"/>
      <c r="B7" s="3"/>
      <c r="C7" s="79"/>
      <c r="D7" s="79"/>
      <c r="E7" s="79"/>
      <c r="F7" s="79"/>
      <c r="G7" s="1"/>
    </row>
    <row r="8" spans="1:7" ht="15.6" x14ac:dyDescent="0.3">
      <c r="A8" s="1"/>
      <c r="B8" s="4"/>
      <c r="C8" s="84" t="s">
        <v>198</v>
      </c>
      <c r="D8" s="84"/>
      <c r="E8" s="84"/>
      <c r="F8" s="84"/>
      <c r="G8" s="1"/>
    </row>
    <row r="9" spans="1:7" x14ac:dyDescent="0.3">
      <c r="A9" s="1"/>
      <c r="B9" s="5"/>
      <c r="C9" s="5"/>
      <c r="D9" s="5"/>
      <c r="E9" s="5"/>
      <c r="F9" s="5"/>
      <c r="G9" s="1"/>
    </row>
    <row r="10" spans="1:7" x14ac:dyDescent="0.3">
      <c r="A10" s="1"/>
      <c r="B10" s="5"/>
      <c r="C10" s="5"/>
      <c r="D10" s="5"/>
      <c r="E10" s="5"/>
      <c r="F10" s="5"/>
      <c r="G10" s="1"/>
    </row>
    <row r="11" spans="1:7" x14ac:dyDescent="0.3">
      <c r="A11" s="1"/>
      <c r="B11" s="5"/>
      <c r="C11" s="83" t="s">
        <v>5</v>
      </c>
      <c r="D11" s="83"/>
      <c r="E11" s="83"/>
      <c r="F11" s="83"/>
      <c r="G11" s="1"/>
    </row>
    <row r="12" spans="1:7" x14ac:dyDescent="0.3">
      <c r="A12" s="1"/>
      <c r="B12" s="1"/>
      <c r="C12" s="1"/>
      <c r="D12" s="1"/>
      <c r="E12" s="1"/>
      <c r="F12" s="1"/>
      <c r="G12" s="1"/>
    </row>
    <row r="13" spans="1:7" x14ac:dyDescent="0.3">
      <c r="A13" s="1"/>
      <c r="B13" s="6" t="s">
        <v>6</v>
      </c>
      <c r="C13" s="76" t="s">
        <v>124</v>
      </c>
      <c r="D13" s="77"/>
      <c r="E13" s="77"/>
      <c r="F13" s="78"/>
      <c r="G13" s="1"/>
    </row>
    <row r="14" spans="1:7" x14ac:dyDescent="0.3">
      <c r="A14" s="1"/>
      <c r="B14" s="6" t="s">
        <v>14</v>
      </c>
      <c r="C14" s="76" t="s">
        <v>159</v>
      </c>
      <c r="D14" s="77"/>
      <c r="E14" s="77"/>
      <c r="F14" s="78"/>
      <c r="G14" s="1"/>
    </row>
    <row r="15" spans="1:7" x14ac:dyDescent="0.3">
      <c r="A15" s="1"/>
      <c r="B15" s="6" t="s">
        <v>29</v>
      </c>
      <c r="C15" s="76" t="s">
        <v>107</v>
      </c>
      <c r="D15" s="77"/>
      <c r="E15" s="77"/>
      <c r="F15" s="78"/>
      <c r="G15" s="1"/>
    </row>
    <row r="16" spans="1:7" x14ac:dyDescent="0.3">
      <c r="A16" s="1"/>
      <c r="B16" s="6" t="s">
        <v>30</v>
      </c>
      <c r="C16" s="76" t="s">
        <v>125</v>
      </c>
      <c r="D16" s="77"/>
      <c r="E16" s="77"/>
      <c r="F16" s="78"/>
      <c r="G16" s="1"/>
    </row>
    <row r="17" spans="1:7" x14ac:dyDescent="0.3">
      <c r="A17" s="1"/>
      <c r="B17" s="6" t="s">
        <v>57</v>
      </c>
      <c r="C17" s="76" t="s">
        <v>126</v>
      </c>
      <c r="D17" s="77"/>
      <c r="E17" s="77"/>
      <c r="F17" s="78"/>
      <c r="G17" s="1"/>
    </row>
    <row r="18" spans="1:7" x14ac:dyDescent="0.3">
      <c r="A18" s="1"/>
      <c r="B18" s="6" t="s">
        <v>49</v>
      </c>
      <c r="C18" s="85" t="s">
        <v>42</v>
      </c>
      <c r="D18" s="86"/>
      <c r="E18" s="86"/>
      <c r="F18" s="87"/>
      <c r="G18" s="1"/>
    </row>
    <row r="19" spans="1:7" x14ac:dyDescent="0.3">
      <c r="A19" s="1"/>
      <c r="B19" s="6" t="s">
        <v>50</v>
      </c>
      <c r="C19" s="85" t="s">
        <v>43</v>
      </c>
      <c r="D19" s="86"/>
      <c r="E19" s="86"/>
      <c r="F19" s="87"/>
      <c r="G19" s="1"/>
    </row>
    <row r="20" spans="1:7" x14ac:dyDescent="0.3">
      <c r="A20" s="1"/>
      <c r="B20" s="6" t="s">
        <v>7</v>
      </c>
      <c r="C20" s="85" t="s">
        <v>9</v>
      </c>
      <c r="D20" s="86"/>
      <c r="E20" s="86"/>
      <c r="F20" s="87"/>
      <c r="G20" s="1"/>
    </row>
    <row r="21" spans="1:7" x14ac:dyDescent="0.3">
      <c r="A21" s="1"/>
      <c r="B21" s="6" t="s">
        <v>51</v>
      </c>
      <c r="C21" s="91" t="s">
        <v>11</v>
      </c>
      <c r="D21" s="92"/>
      <c r="E21" s="92"/>
      <c r="F21" s="93"/>
      <c r="G21" s="1"/>
    </row>
    <row r="22" spans="1:7" x14ac:dyDescent="0.3">
      <c r="A22" s="1"/>
      <c r="B22" s="6" t="s">
        <v>37</v>
      </c>
      <c r="C22" s="80" t="s">
        <v>127</v>
      </c>
      <c r="D22" s="81"/>
      <c r="E22" s="81"/>
      <c r="F22" s="82"/>
      <c r="G22" s="1"/>
    </row>
    <row r="23" spans="1:7" x14ac:dyDescent="0.3">
      <c r="A23" s="1"/>
      <c r="B23" s="6" t="s">
        <v>8</v>
      </c>
      <c r="C23" s="80" t="s">
        <v>89</v>
      </c>
      <c r="D23" s="81"/>
      <c r="E23" s="81"/>
      <c r="F23" s="82"/>
      <c r="G23" s="1"/>
    </row>
    <row r="24" spans="1:7" x14ac:dyDescent="0.3">
      <c r="A24" s="1"/>
      <c r="B24" s="6" t="s">
        <v>85</v>
      </c>
      <c r="C24" s="80" t="s">
        <v>78</v>
      </c>
      <c r="D24" s="81"/>
      <c r="E24" s="81"/>
      <c r="F24" s="82"/>
      <c r="G24" s="1"/>
    </row>
    <row r="25" spans="1:7" x14ac:dyDescent="0.3">
      <c r="A25" s="1"/>
      <c r="B25" s="6" t="s">
        <v>86</v>
      </c>
      <c r="C25" s="80" t="s">
        <v>38</v>
      </c>
      <c r="D25" s="81"/>
      <c r="E25" s="81"/>
      <c r="F25" s="82"/>
      <c r="G25" s="1"/>
    </row>
    <row r="26" spans="1:7" x14ac:dyDescent="0.3">
      <c r="A26" s="1"/>
      <c r="B26" s="6" t="s">
        <v>87</v>
      </c>
      <c r="C26" s="80" t="s">
        <v>39</v>
      </c>
      <c r="D26" s="81"/>
      <c r="E26" s="81"/>
      <c r="F26" s="82"/>
      <c r="G26" s="1"/>
    </row>
    <row r="27" spans="1:7" x14ac:dyDescent="0.3">
      <c r="A27" s="1"/>
      <c r="B27" s="6" t="s">
        <v>52</v>
      </c>
      <c r="C27" s="80" t="s">
        <v>58</v>
      </c>
      <c r="D27" s="81"/>
      <c r="E27" s="81"/>
      <c r="F27" s="82"/>
      <c r="G27" s="1"/>
    </row>
    <row r="28" spans="1:7" x14ac:dyDescent="0.3">
      <c r="A28" s="1"/>
      <c r="B28" s="6" t="s">
        <v>46</v>
      </c>
      <c r="C28" s="80" t="s">
        <v>31</v>
      </c>
      <c r="D28" s="81"/>
      <c r="E28" s="81"/>
      <c r="F28" s="82"/>
      <c r="G28" s="1"/>
    </row>
    <row r="29" spans="1:7" x14ac:dyDescent="0.3">
      <c r="A29" s="1"/>
      <c r="B29" s="6" t="s">
        <v>88</v>
      </c>
      <c r="C29" s="88" t="s">
        <v>47</v>
      </c>
      <c r="D29" s="89"/>
      <c r="E29" s="89"/>
      <c r="F29" s="90"/>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sheetData>
  <sheetProtection algorithmName="SHA-512" hashValue="FTms+4YcE3G0SCrgFZIG5c8VF5WqZzF/6I88HiPX2PMSR9VBwbJNFumYO25v/TymWCvxTMx7v5nvBNijM1nOrg==" saltValue="+wgAfnvo0UnOv0iNHkTlMQ=="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128</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52" t="s">
        <v>12</v>
      </c>
      <c r="C8" s="53"/>
      <c r="D8" s="19"/>
      <c r="E8" s="1"/>
    </row>
    <row r="9" spans="1:5" x14ac:dyDescent="0.3">
      <c r="A9" s="1"/>
      <c r="B9" s="55" t="s">
        <v>68</v>
      </c>
      <c r="C9" s="7">
        <f>'Fane 3. Omkostninger i ØR2024'!C20</f>
        <v>34579140.90101856</v>
      </c>
      <c r="D9" s="8" t="s">
        <v>3</v>
      </c>
      <c r="E9" s="1"/>
    </row>
    <row r="10" spans="1:5" ht="17.100000000000001" customHeight="1" x14ac:dyDescent="0.3">
      <c r="A10" s="1"/>
      <c r="B10" s="24" t="s">
        <v>32</v>
      </c>
      <c r="C10" s="7">
        <f>'Fane 10.1. Varige tillæg'!C18</f>
        <v>1049480.8875579999</v>
      </c>
      <c r="D10" s="8" t="s">
        <v>3</v>
      </c>
      <c r="E10" s="1"/>
    </row>
    <row r="11" spans="1:5" ht="17.100000000000001" customHeight="1" x14ac:dyDescent="0.3">
      <c r="A11" s="1"/>
      <c r="B11" s="24" t="s">
        <v>33</v>
      </c>
      <c r="C11" s="9">
        <f>'Fane 10.1. Varige tillæg'!E18</f>
        <v>4136165.2456160001</v>
      </c>
      <c r="D11" s="8" t="s">
        <v>3</v>
      </c>
      <c r="E11" s="1"/>
    </row>
    <row r="12" spans="1:5" ht="17.100000000000001" customHeight="1" x14ac:dyDescent="0.3">
      <c r="A12" s="1"/>
      <c r="B12" s="24" t="s">
        <v>24</v>
      </c>
      <c r="C12" s="9">
        <f>-'Fane 12. Bortfald'!C12</f>
        <v>0</v>
      </c>
      <c r="D12" s="8" t="s">
        <v>3</v>
      </c>
      <c r="E12" s="1"/>
    </row>
    <row r="13" spans="1:5" ht="17.100000000000001" customHeight="1" x14ac:dyDescent="0.3">
      <c r="A13" s="1"/>
      <c r="B13" s="24" t="s">
        <v>23</v>
      </c>
      <c r="C13" s="9">
        <f>-'Fane 12. Bortfald'!E12</f>
        <v>0</v>
      </c>
      <c r="D13" s="8" t="s">
        <v>3</v>
      </c>
      <c r="E13" s="1"/>
    </row>
    <row r="14" spans="1:5" ht="17.100000000000001" customHeight="1" x14ac:dyDescent="0.3">
      <c r="A14" s="1"/>
      <c r="B14" s="24" t="s">
        <v>61</v>
      </c>
      <c r="C14" s="9">
        <f>'Fane 11. Tilknyttet virksomhed'!C12</f>
        <v>0</v>
      </c>
      <c r="D14" s="8" t="s">
        <v>3</v>
      </c>
      <c r="E14" s="1"/>
    </row>
    <row r="15" spans="1:5" ht="17.100000000000001" customHeight="1" x14ac:dyDescent="0.3">
      <c r="A15" s="1"/>
      <c r="B15" s="24" t="s">
        <v>62</v>
      </c>
      <c r="C15" s="9">
        <f>'Fane 11. Tilknyttet virksomhed'!E12</f>
        <v>0</v>
      </c>
      <c r="D15" s="8" t="s">
        <v>3</v>
      </c>
      <c r="E15" s="1"/>
    </row>
    <row r="16" spans="1:5" ht="17.100000000000001" customHeight="1" x14ac:dyDescent="0.3">
      <c r="A16" s="1"/>
      <c r="B16" s="24" t="s">
        <v>17</v>
      </c>
      <c r="C16" s="9">
        <f>(SUM(C9:C11)+SUM(C14:C15))*'Fane 13. Nøgletal'!C11</f>
        <v>2636405.3803669666</v>
      </c>
      <c r="D16" s="8" t="s">
        <v>3</v>
      </c>
      <c r="E16" s="1"/>
    </row>
    <row r="17" spans="1:5" ht="17.100000000000001" customHeight="1" x14ac:dyDescent="0.3">
      <c r="A17" s="1"/>
      <c r="B17" s="24" t="s">
        <v>9</v>
      </c>
      <c r="C17" s="9">
        <f>-SUM(C9:C16)*'Fane 5. Individuelt eff. krav'!C9</f>
        <v>0</v>
      </c>
      <c r="D17" s="8" t="s">
        <v>3</v>
      </c>
      <c r="E17" s="1"/>
    </row>
    <row r="18" spans="1:5" ht="17.100000000000001" customHeight="1" x14ac:dyDescent="0.3">
      <c r="A18" s="1"/>
      <c r="B18" s="24" t="s">
        <v>21</v>
      </c>
      <c r="C18" s="9">
        <f>-'Fane 4.1. Gen. krav - drift'!C17</f>
        <v>-439408.89649817115</v>
      </c>
      <c r="D18" s="8" t="s">
        <v>3</v>
      </c>
      <c r="E18" s="1"/>
    </row>
    <row r="19" spans="1:5" ht="17.100000000000001" customHeight="1" x14ac:dyDescent="0.3">
      <c r="A19" s="1"/>
      <c r="B19" s="24" t="s">
        <v>22</v>
      </c>
      <c r="C19" s="9">
        <f>-'Fane 4.2. Gen. krav - anlæg'!C17</f>
        <v>0</v>
      </c>
      <c r="D19" s="8" t="s">
        <v>3</v>
      </c>
      <c r="E19" s="1"/>
    </row>
    <row r="20" spans="1:5" ht="17.100000000000001" customHeight="1" x14ac:dyDescent="0.3">
      <c r="A20" s="1"/>
      <c r="B20" s="73" t="s">
        <v>19</v>
      </c>
      <c r="C20" s="10">
        <f>SUM(C9:C19)</f>
        <v>41961783.518061355</v>
      </c>
      <c r="D20" s="11" t="s">
        <v>3</v>
      </c>
      <c r="E20" s="1"/>
    </row>
    <row r="21" spans="1:5" ht="15" customHeight="1" x14ac:dyDescent="0.3">
      <c r="A21" s="1"/>
      <c r="B21" s="52" t="s">
        <v>11</v>
      </c>
      <c r="C21" s="53"/>
      <c r="D21" s="19"/>
      <c r="E21" s="1"/>
    </row>
    <row r="22" spans="1:5" ht="15" customHeight="1" x14ac:dyDescent="0.3">
      <c r="A22" s="1"/>
      <c r="B22" s="54" t="s">
        <v>11</v>
      </c>
      <c r="C22" s="10">
        <f>'Fane 6. Ikke-påvirkelige omk.'!C20</f>
        <v>28746515.357825991</v>
      </c>
      <c r="D22" s="11" t="s">
        <v>3</v>
      </c>
      <c r="E22" s="1"/>
    </row>
    <row r="23" spans="1:5" ht="15" customHeight="1" x14ac:dyDescent="0.3">
      <c r="A23" s="1"/>
      <c r="B23" s="52" t="s">
        <v>39</v>
      </c>
      <c r="C23" s="53"/>
      <c r="D23" s="19"/>
      <c r="E23" s="1"/>
    </row>
    <row r="24" spans="1:5" ht="15" customHeight="1" x14ac:dyDescent="0.3">
      <c r="A24" s="1"/>
      <c r="B24" s="24" t="s">
        <v>35</v>
      </c>
      <c r="C24" s="9">
        <f>'Fane 10.2. Engangstillæg'!C14</f>
        <v>0</v>
      </c>
      <c r="D24" s="8" t="s">
        <v>3</v>
      </c>
      <c r="E24" s="1"/>
    </row>
    <row r="25" spans="1:5" ht="15" customHeight="1" x14ac:dyDescent="0.3">
      <c r="A25" s="1"/>
      <c r="B25" s="24" t="s">
        <v>36</v>
      </c>
      <c r="C25" s="9">
        <f>'Fane 10.2. Engangstillæg'!E14</f>
        <v>0</v>
      </c>
      <c r="D25" s="8" t="s">
        <v>3</v>
      </c>
      <c r="E25" s="1"/>
    </row>
    <row r="26" spans="1:5" ht="15" customHeight="1" x14ac:dyDescent="0.3">
      <c r="A26" s="1"/>
      <c r="B26" s="24" t="s">
        <v>79</v>
      </c>
      <c r="C26" s="9">
        <f>-C24*('Fane 13. Nøgletal'!C23+'Fane 5. Individuelt eff. krav'!C9)</f>
        <v>0</v>
      </c>
      <c r="D26" s="8" t="s">
        <v>3</v>
      </c>
      <c r="E26" s="1"/>
    </row>
    <row r="27" spans="1:5" ht="15" customHeight="1" x14ac:dyDescent="0.3">
      <c r="A27" s="1"/>
      <c r="B27" s="24" t="s">
        <v>80</v>
      </c>
      <c r="C27" s="9">
        <f>-C25*('Fane 13. Nøgletal'!C18+'Fane 5. Individuelt eff. krav'!C9)</f>
        <v>0</v>
      </c>
      <c r="D27" s="8" t="s">
        <v>3</v>
      </c>
      <c r="E27" s="1"/>
    </row>
    <row r="28" spans="1:5" x14ac:dyDescent="0.3">
      <c r="A28" s="1"/>
      <c r="B28" s="73" t="s">
        <v>40</v>
      </c>
      <c r="C28" s="50">
        <f>SUM(C24:C27)</f>
        <v>0</v>
      </c>
      <c r="D28" s="11" t="s">
        <v>3</v>
      </c>
      <c r="E28" s="1"/>
    </row>
    <row r="29" spans="1:5" ht="15" customHeight="1" x14ac:dyDescent="0.3">
      <c r="A29" s="1"/>
      <c r="B29" s="25" t="s">
        <v>65</v>
      </c>
      <c r="C29" s="53"/>
      <c r="D29" s="19"/>
      <c r="E29" s="1"/>
    </row>
    <row r="30" spans="1:5" x14ac:dyDescent="0.3">
      <c r="A30" s="1"/>
      <c r="B30" s="58" t="s">
        <v>66</v>
      </c>
      <c r="C30" s="10">
        <f>'Fane 7. Kontrol af ØR2023'!C30</f>
        <v>0</v>
      </c>
      <c r="D30" s="11" t="s">
        <v>3</v>
      </c>
      <c r="E30" s="1"/>
    </row>
    <row r="31" spans="1:5" x14ac:dyDescent="0.3">
      <c r="A31" s="1"/>
      <c r="B31" s="25" t="s">
        <v>70</v>
      </c>
      <c r="C31" s="53"/>
      <c r="D31" s="19"/>
      <c r="E31" s="1"/>
    </row>
    <row r="32" spans="1:5" x14ac:dyDescent="0.3">
      <c r="A32" s="1"/>
      <c r="B32" s="58" t="s">
        <v>71</v>
      </c>
      <c r="C32" s="10">
        <f>'Fane 8. Skattesagen'!C14</f>
        <v>0</v>
      </c>
      <c r="D32" s="11" t="s">
        <v>3</v>
      </c>
      <c r="E32" s="1"/>
    </row>
    <row r="33" spans="1:5" x14ac:dyDescent="0.3">
      <c r="A33" s="1"/>
      <c r="B33" s="52" t="s">
        <v>69</v>
      </c>
      <c r="C33" s="29">
        <f>SUM(C20,C22,C28,C30,C32)</f>
        <v>70708298.875887349</v>
      </c>
      <c r="D33" s="19" t="s">
        <v>3</v>
      </c>
      <c r="E33" s="1"/>
    </row>
    <row r="34" spans="1:5" x14ac:dyDescent="0.3">
      <c r="A34" s="1"/>
      <c r="B34" s="1" t="s">
        <v>82</v>
      </c>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GrD+au8UrcufIzLj/3iavXk1gv0kZuhz4eg+CUNWd9Tx6WtIFpTRPw5amerdGZbxt4f8R8VFFTFR1D5BqShyFQ==" saltValue="/fSXBfDEtNfTCVGXDLr+8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129</v>
      </c>
      <c r="C3" s="94"/>
      <c r="D3" s="94"/>
      <c r="E3" s="1"/>
    </row>
    <row r="4" spans="1:5" ht="15" customHeight="1" x14ac:dyDescent="0.3">
      <c r="A4" s="1"/>
      <c r="B4" s="94"/>
      <c r="C4" s="94"/>
      <c r="D4" s="94"/>
      <c r="E4" s="1"/>
    </row>
    <row r="5" spans="1:5" x14ac:dyDescent="0.3">
      <c r="A5" s="1"/>
      <c r="B5" s="95"/>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72</v>
      </c>
      <c r="C9" s="7">
        <f>'Fane 2.1. Økonomisk ramme 2025'!C20</f>
        <v>41961783.518061355</v>
      </c>
      <c r="D9" s="8" t="s">
        <v>3</v>
      </c>
      <c r="E9" s="1"/>
    </row>
    <row r="10" spans="1:5" ht="15" customHeight="1" x14ac:dyDescent="0.3">
      <c r="A10" s="1"/>
      <c r="B10" s="47" t="s">
        <v>17</v>
      </c>
      <c r="C10" s="41">
        <f>C9*'Fane 13. Nøgletal'!C11</f>
        <v>2782066.2472474677</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drift'!C22</f>
        <v>-459170.87220927997</v>
      </c>
      <c r="D12" s="8" t="s">
        <v>3</v>
      </c>
      <c r="E12" s="1"/>
    </row>
    <row r="13" spans="1:5" ht="15" customHeight="1" x14ac:dyDescent="0.3">
      <c r="A13" s="1"/>
      <c r="B13" s="47" t="s">
        <v>22</v>
      </c>
      <c r="C13" s="9">
        <f>-'Fane 4.2. Gen. krav - anlæg'!C22</f>
        <v>0</v>
      </c>
      <c r="D13" s="8" t="s">
        <v>3</v>
      </c>
      <c r="E13" s="1"/>
    </row>
    <row r="14" spans="1:5" ht="15" customHeight="1" x14ac:dyDescent="0.3">
      <c r="A14" s="1"/>
      <c r="B14" s="51" t="s">
        <v>19</v>
      </c>
      <c r="C14" s="10">
        <f>SUM(C9:C13)</f>
        <v>44284678.893099539</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f>
        <v>30652409.326049853</v>
      </c>
      <c r="D16" s="11" t="s">
        <v>3</v>
      </c>
      <c r="E16" s="1"/>
    </row>
    <row r="17" spans="1:5" x14ac:dyDescent="0.3">
      <c r="A17" s="1"/>
      <c r="B17" s="25" t="s">
        <v>65</v>
      </c>
      <c r="C17" s="53"/>
      <c r="D17" s="19"/>
      <c r="E17" s="1"/>
    </row>
    <row r="18" spans="1:5" ht="15" customHeight="1" x14ac:dyDescent="0.3">
      <c r="A18" s="1"/>
      <c r="B18" s="45" t="s">
        <v>66</v>
      </c>
      <c r="C18" s="10">
        <f>'Fane 7. Kontrol af ØR2023'!C30</f>
        <v>0</v>
      </c>
      <c r="D18" s="11" t="s">
        <v>3</v>
      </c>
      <c r="E18" s="1"/>
    </row>
    <row r="19" spans="1:5" x14ac:dyDescent="0.3">
      <c r="A19" s="1"/>
      <c r="B19" s="25" t="s">
        <v>70</v>
      </c>
      <c r="C19" s="53"/>
      <c r="D19" s="19"/>
      <c r="E19" s="1"/>
    </row>
    <row r="20" spans="1:5" x14ac:dyDescent="0.3">
      <c r="A20" s="1"/>
      <c r="B20" s="58" t="s">
        <v>71</v>
      </c>
      <c r="C20" s="10">
        <f>'Fane 8. Skattesagen'!C15</f>
        <v>0</v>
      </c>
      <c r="D20" s="11" t="s">
        <v>3</v>
      </c>
      <c r="E20" s="1"/>
    </row>
    <row r="21" spans="1:5" x14ac:dyDescent="0.3">
      <c r="A21" s="1"/>
      <c r="B21" s="52" t="s">
        <v>73</v>
      </c>
      <c r="C21" s="12">
        <f>SUM(C14,C16,C18,C20)</f>
        <v>74937088.219149396</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QoFjdvbXUtM2PO84J37Gr86qa+B0ABsTSSM0xqiWb2ccppba+SNR1cySf9pzIvZ8L/ZSsxBQWQ0TDfuC8DErHQ==" saltValue="iYu2OEf9xr8XehfHLpVXF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130</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108</v>
      </c>
      <c r="C9" s="7">
        <f>'Fane 2.2. Økonomisk ramme 2026'!C14</f>
        <v>44284678.893099539</v>
      </c>
      <c r="D9" s="8" t="s">
        <v>3</v>
      </c>
      <c r="E9" s="1"/>
    </row>
    <row r="10" spans="1:5" ht="15" customHeight="1" x14ac:dyDescent="0.3">
      <c r="A10" s="1"/>
      <c r="B10" s="47" t="s">
        <v>17</v>
      </c>
      <c r="C10" s="41">
        <f>C9*'Fane 13. Nøgletal'!C11</f>
        <v>2936074.2106124992</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drift'!C27</f>
        <v>-479821.62301602017</v>
      </c>
      <c r="D12" s="8" t="s">
        <v>3</v>
      </c>
      <c r="E12" s="1"/>
    </row>
    <row r="13" spans="1:5" ht="15" customHeight="1" x14ac:dyDescent="0.3">
      <c r="A13" s="1"/>
      <c r="B13" s="47" t="s">
        <v>22</v>
      </c>
      <c r="C13" s="9">
        <f>-'Fane 4.2. Gen. krav - anlæg'!C27</f>
        <v>0</v>
      </c>
      <c r="D13" s="8" t="s">
        <v>3</v>
      </c>
      <c r="E13" s="1"/>
    </row>
    <row r="14" spans="1:5" ht="15" customHeight="1" x14ac:dyDescent="0.3">
      <c r="A14" s="1"/>
      <c r="B14" s="51" t="s">
        <v>19</v>
      </c>
      <c r="C14" s="10">
        <f>SUM(C9:C13)</f>
        <v>46740931.480696015</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Nøgletal'!C11)^2</f>
        <v>32684664.064366959</v>
      </c>
      <c r="D16" s="11" t="s">
        <v>3</v>
      </c>
      <c r="E16" s="1"/>
    </row>
    <row r="17" spans="1:5" x14ac:dyDescent="0.3">
      <c r="A17" s="1"/>
      <c r="B17" s="25" t="s">
        <v>65</v>
      </c>
      <c r="C17" s="53"/>
      <c r="D17" s="19"/>
      <c r="E17" s="1"/>
    </row>
    <row r="18" spans="1:5" ht="15" customHeight="1" x14ac:dyDescent="0.3">
      <c r="A18" s="1"/>
      <c r="B18" s="45" t="s">
        <v>66</v>
      </c>
      <c r="C18" s="10">
        <v>0</v>
      </c>
      <c r="D18" s="11" t="s">
        <v>3</v>
      </c>
      <c r="E18" s="1"/>
    </row>
    <row r="19" spans="1:5" x14ac:dyDescent="0.3">
      <c r="A19" s="1"/>
      <c r="B19" s="52" t="s">
        <v>70</v>
      </c>
      <c r="C19" s="53"/>
      <c r="D19" s="19"/>
      <c r="E19" s="1"/>
    </row>
    <row r="20" spans="1:5" x14ac:dyDescent="0.3">
      <c r="A20" s="1"/>
      <c r="B20" s="58" t="s">
        <v>71</v>
      </c>
      <c r="C20" s="10">
        <f>'Fane 8. Skattesagen'!C16</f>
        <v>0</v>
      </c>
      <c r="D20" s="11" t="s">
        <v>3</v>
      </c>
      <c r="E20" s="1"/>
    </row>
    <row r="21" spans="1:5" x14ac:dyDescent="0.3">
      <c r="A21" s="1"/>
      <c r="B21" s="52" t="s">
        <v>109</v>
      </c>
      <c r="C21" s="12">
        <f>SUM(C14,C16,C18,C20)</f>
        <v>79425595.545062974</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VzQvCu20EacGuo96eK3mGrbTXBPpofu0wf3KEVJCTpzRIUF5tb/B48FXEKxhis7+BQXgsAuLVjv4CBY/f08rLA==" saltValue="iToBcbZe99gQwdHD0bhWa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131</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132</v>
      </c>
      <c r="C9" s="7">
        <f>'Fane 2.3. Økonomisk ramme 2027'!C14</f>
        <v>46740931.480696015</v>
      </c>
      <c r="D9" s="8" t="s">
        <v>3</v>
      </c>
      <c r="E9" s="1"/>
    </row>
    <row r="10" spans="1:5" ht="15" customHeight="1" x14ac:dyDescent="0.3">
      <c r="A10" s="1"/>
      <c r="B10" s="47" t="s">
        <v>17</v>
      </c>
      <c r="C10" s="9">
        <f>C9*'Fane 13. Nøgletal'!C11</f>
        <v>3098923.7571701459</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drift'!C32</f>
        <v>-501401.12068954267</v>
      </c>
      <c r="D12" s="8" t="s">
        <v>3</v>
      </c>
      <c r="E12" s="1"/>
    </row>
    <row r="13" spans="1:5" ht="15" customHeight="1" x14ac:dyDescent="0.3">
      <c r="A13" s="1"/>
      <c r="B13" s="47" t="s">
        <v>22</v>
      </c>
      <c r="C13" s="9">
        <f>-'Fane 4.2. Gen. krav - anlæg'!C32</f>
        <v>0</v>
      </c>
      <c r="D13" s="8" t="s">
        <v>3</v>
      </c>
      <c r="E13" s="1"/>
    </row>
    <row r="14" spans="1:5" x14ac:dyDescent="0.3">
      <c r="A14" s="1"/>
      <c r="B14" s="51" t="s">
        <v>19</v>
      </c>
      <c r="C14" s="10">
        <f>SUM(C9:C13)</f>
        <v>49338454.117176622</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Nøgletal'!C11)^3</f>
        <v>34851657.291834489</v>
      </c>
      <c r="D16" s="11" t="s">
        <v>3</v>
      </c>
      <c r="E16" s="1"/>
    </row>
    <row r="17" spans="1:5" x14ac:dyDescent="0.3">
      <c r="A17" s="1"/>
      <c r="B17" s="25" t="s">
        <v>70</v>
      </c>
      <c r="C17" s="53"/>
      <c r="D17" s="19"/>
      <c r="E17" s="1"/>
    </row>
    <row r="18" spans="1:5" x14ac:dyDescent="0.3">
      <c r="A18" s="1"/>
      <c r="B18" s="58" t="s">
        <v>71</v>
      </c>
      <c r="C18" s="10">
        <f>'Fane 8. Skattesagen'!C17</f>
        <v>0</v>
      </c>
      <c r="D18" s="11" t="s">
        <v>3</v>
      </c>
      <c r="E18" s="1"/>
    </row>
    <row r="19" spans="1:5" x14ac:dyDescent="0.3">
      <c r="A19" s="1"/>
      <c r="B19" s="52" t="s">
        <v>133</v>
      </c>
      <c r="C19" s="12">
        <f>SUM(C14,C16,C18)</f>
        <v>84190111.409011111</v>
      </c>
      <c r="D19" s="13" t="s">
        <v>3</v>
      </c>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yRgkAUrDporHNNV1VKSUpXMJEVsuqlDoqGsCcKClQjR7W7xiur1zZ4jY7ZcXkpQHGYjFd1c4GpGXr8l8yo3N2Q==" saltValue="kUVeWMNN9dVMP9H2WLQjL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4.4" zeroHeight="1" x14ac:dyDescent="0.3"/>
  <cols>
    <col min="1" max="1" width="6.5546875" style="2" customWidth="1"/>
    <col min="2" max="2" width="56.6640625" style="2" customWidth="1"/>
    <col min="3" max="3" width="12.6640625" style="2" bestFit="1" customWidth="1"/>
    <col min="4" max="4" width="3" style="2" customWidth="1"/>
    <col min="5" max="5" width="6.33203125" style="2" customWidth="1"/>
    <col min="6" max="16384" width="9.109375" style="2" hidden="1"/>
  </cols>
  <sheetData>
    <row r="1" spans="1:5" x14ac:dyDescent="0.3">
      <c r="A1" s="1"/>
      <c r="B1" s="1"/>
      <c r="C1" s="1"/>
      <c r="D1" s="1"/>
      <c r="E1" s="1"/>
    </row>
    <row r="2" spans="1:5" x14ac:dyDescent="0.3">
      <c r="A2" s="1"/>
      <c r="B2" s="1"/>
      <c r="C2" s="1"/>
      <c r="D2" s="1"/>
      <c r="E2" s="1"/>
    </row>
    <row r="3" spans="1:5" ht="24.9" customHeight="1" x14ac:dyDescent="0.3">
      <c r="A3" s="1"/>
      <c r="B3" s="96" t="s">
        <v>134</v>
      </c>
      <c r="C3" s="96"/>
      <c r="D3" s="96"/>
      <c r="E3" s="1"/>
    </row>
    <row r="4" spans="1:5" ht="15" customHeight="1" x14ac:dyDescent="0.3">
      <c r="A4" s="1"/>
      <c r="B4" s="96"/>
      <c r="C4" s="96"/>
      <c r="D4" s="96"/>
      <c r="E4" s="1"/>
    </row>
    <row r="5" spans="1:5" ht="15" customHeight="1" x14ac:dyDescent="0.3">
      <c r="A5" s="1"/>
      <c r="B5" s="67"/>
      <c r="C5" s="67"/>
      <c r="D5" s="67"/>
      <c r="E5" s="1"/>
    </row>
    <row r="6" spans="1:5" ht="15" customHeight="1" x14ac:dyDescent="0.3">
      <c r="A6" s="1"/>
      <c r="B6" s="1"/>
      <c r="C6" s="1"/>
      <c r="D6" s="1"/>
      <c r="E6" s="1"/>
    </row>
    <row r="7" spans="1:5" x14ac:dyDescent="0.3">
      <c r="A7" s="1"/>
      <c r="B7" s="1"/>
      <c r="C7" s="1"/>
      <c r="D7" s="1"/>
      <c r="E7" s="1"/>
    </row>
    <row r="8" spans="1:5" x14ac:dyDescent="0.3">
      <c r="A8" s="1"/>
      <c r="B8" s="52" t="s">
        <v>135</v>
      </c>
      <c r="C8" s="53"/>
      <c r="D8" s="19"/>
      <c r="E8" s="1"/>
    </row>
    <row r="9" spans="1:5" x14ac:dyDescent="0.3">
      <c r="A9" s="1"/>
      <c r="B9" s="55" t="s">
        <v>63</v>
      </c>
      <c r="C9" s="7">
        <v>33887141.615823776</v>
      </c>
      <c r="D9" s="8" t="s">
        <v>3</v>
      </c>
      <c r="E9" s="1"/>
    </row>
    <row r="10" spans="1:5" x14ac:dyDescent="0.3">
      <c r="A10" s="1"/>
      <c r="B10" s="24" t="s">
        <v>32</v>
      </c>
      <c r="C10" s="7">
        <v>225267.70705600001</v>
      </c>
      <c r="D10" s="8" t="s">
        <v>3</v>
      </c>
      <c r="E10" s="1"/>
    </row>
    <row r="11" spans="1:5" ht="15" customHeight="1" x14ac:dyDescent="0.3">
      <c r="A11" s="1"/>
      <c r="B11" s="24" t="s">
        <v>33</v>
      </c>
      <c r="C11" s="9">
        <v>32348.765511999998</v>
      </c>
      <c r="D11" s="8" t="s">
        <v>3</v>
      </c>
      <c r="E11" s="1"/>
    </row>
    <row r="12" spans="1:5" ht="15" customHeight="1" x14ac:dyDescent="0.3">
      <c r="A12" s="1"/>
      <c r="B12" s="24" t="s">
        <v>24</v>
      </c>
      <c r="C12" s="9">
        <v>0</v>
      </c>
      <c r="D12" s="8" t="s">
        <v>3</v>
      </c>
      <c r="E12" s="1"/>
    </row>
    <row r="13" spans="1:5" x14ac:dyDescent="0.3">
      <c r="A13" s="1"/>
      <c r="B13" s="24" t="s">
        <v>23</v>
      </c>
      <c r="C13" s="9">
        <v>0</v>
      </c>
      <c r="D13" s="8" t="s">
        <v>3</v>
      </c>
      <c r="E13" s="1"/>
    </row>
    <row r="14" spans="1:5" x14ac:dyDescent="0.3">
      <c r="A14" s="1"/>
      <c r="B14" s="24" t="s">
        <v>61</v>
      </c>
      <c r="C14" s="9">
        <v>0</v>
      </c>
      <c r="D14" s="8" t="s">
        <v>3</v>
      </c>
      <c r="E14" s="1"/>
    </row>
    <row r="15" spans="1:5" x14ac:dyDescent="0.3">
      <c r="A15" s="1"/>
      <c r="B15" s="24" t="s">
        <v>62</v>
      </c>
      <c r="C15" s="9">
        <v>0</v>
      </c>
      <c r="D15" s="8" t="s">
        <v>3</v>
      </c>
      <c r="E15" s="1"/>
    </row>
    <row r="16" spans="1:5" x14ac:dyDescent="0.3">
      <c r="A16" s="1"/>
      <c r="B16" s="24" t="s">
        <v>17</v>
      </c>
      <c r="C16" s="9">
        <v>1227197.6525068209</v>
      </c>
      <c r="D16" s="8" t="s">
        <v>3</v>
      </c>
      <c r="E16" s="1"/>
    </row>
    <row r="17" spans="1:5" x14ac:dyDescent="0.3">
      <c r="A17" s="1"/>
      <c r="B17" s="24" t="s">
        <v>9</v>
      </c>
      <c r="C17" s="9">
        <v>-393735.37274486275</v>
      </c>
      <c r="D17" s="8" t="s">
        <v>3</v>
      </c>
      <c r="E17" s="1"/>
    </row>
    <row r="18" spans="1:5" x14ac:dyDescent="0.3">
      <c r="A18" s="1"/>
      <c r="B18" s="24" t="s">
        <v>21</v>
      </c>
      <c r="C18" s="9">
        <v>-399079.4671351721</v>
      </c>
      <c r="D18" s="8" t="s">
        <v>3</v>
      </c>
      <c r="E18" s="1"/>
    </row>
    <row r="19" spans="1:5" x14ac:dyDescent="0.3">
      <c r="A19" s="1"/>
      <c r="B19" s="24" t="s">
        <v>22</v>
      </c>
      <c r="C19" s="9">
        <v>0</v>
      </c>
      <c r="D19" s="8" t="s">
        <v>3</v>
      </c>
      <c r="E19" s="1"/>
    </row>
    <row r="20" spans="1:5" x14ac:dyDescent="0.3">
      <c r="A20" s="1"/>
      <c r="B20" s="73" t="s">
        <v>19</v>
      </c>
      <c r="C20" s="10">
        <v>34579140.90101856</v>
      </c>
      <c r="D20" s="11" t="s">
        <v>3</v>
      </c>
      <c r="E20" s="1"/>
    </row>
    <row r="21" spans="1:5" x14ac:dyDescent="0.3">
      <c r="A21" s="1"/>
      <c r="B21" s="52" t="s">
        <v>11</v>
      </c>
      <c r="C21" s="53"/>
      <c r="D21" s="19"/>
      <c r="E21" s="1"/>
    </row>
    <row r="22" spans="1:5" x14ac:dyDescent="0.3">
      <c r="A22" s="1"/>
      <c r="B22" s="54" t="s">
        <v>11</v>
      </c>
      <c r="C22" s="10">
        <v>31343387.702103678</v>
      </c>
      <c r="D22" s="11" t="s">
        <v>3</v>
      </c>
      <c r="E22" s="1"/>
    </row>
    <row r="23" spans="1:5" x14ac:dyDescent="0.3">
      <c r="A23" s="1"/>
      <c r="B23" s="52" t="s">
        <v>39</v>
      </c>
      <c r="C23" s="53"/>
      <c r="D23" s="19"/>
      <c r="E23" s="1"/>
    </row>
    <row r="24" spans="1:5" ht="15" customHeight="1" x14ac:dyDescent="0.3">
      <c r="A24" s="1"/>
      <c r="B24" s="24" t="s">
        <v>35</v>
      </c>
      <c r="C24" s="9">
        <v>0</v>
      </c>
      <c r="D24" s="8" t="s">
        <v>3</v>
      </c>
      <c r="E24" s="1"/>
    </row>
    <row r="25" spans="1:5" ht="14.25" customHeight="1" x14ac:dyDescent="0.3">
      <c r="A25" s="1"/>
      <c r="B25" s="24" t="s">
        <v>36</v>
      </c>
      <c r="C25" s="9">
        <v>0</v>
      </c>
      <c r="D25" s="8" t="s">
        <v>3</v>
      </c>
      <c r="E25" s="1"/>
    </row>
    <row r="26" spans="1:5" ht="14.25" customHeight="1" x14ac:dyDescent="0.3">
      <c r="A26" s="1"/>
      <c r="B26" s="24" t="s">
        <v>79</v>
      </c>
      <c r="C26" s="9">
        <v>0</v>
      </c>
      <c r="D26" s="8" t="s">
        <v>3</v>
      </c>
      <c r="E26" s="1"/>
    </row>
    <row r="27" spans="1:5" ht="14.25" customHeight="1" x14ac:dyDescent="0.3">
      <c r="A27" s="1"/>
      <c r="B27" s="24" t="s">
        <v>80</v>
      </c>
      <c r="C27" s="9">
        <v>0</v>
      </c>
      <c r="D27" s="8" t="s">
        <v>3</v>
      </c>
      <c r="E27" s="1"/>
    </row>
    <row r="28" spans="1:5" ht="14.25" customHeight="1" x14ac:dyDescent="0.3">
      <c r="A28" s="1"/>
      <c r="B28" s="73" t="s">
        <v>40</v>
      </c>
      <c r="C28" s="50">
        <v>0</v>
      </c>
      <c r="D28" s="11" t="s">
        <v>3</v>
      </c>
      <c r="E28" s="1"/>
    </row>
    <row r="29" spans="1:5" x14ac:dyDescent="0.3">
      <c r="A29" s="1"/>
      <c r="B29" s="25" t="s">
        <v>65</v>
      </c>
      <c r="C29" s="53"/>
      <c r="D29" s="19"/>
      <c r="E29" s="1"/>
    </row>
    <row r="30" spans="1:5" x14ac:dyDescent="0.3">
      <c r="A30" s="1"/>
      <c r="B30" s="58" t="s">
        <v>66</v>
      </c>
      <c r="C30" s="10">
        <v>377625.25711181015</v>
      </c>
      <c r="D30" s="11" t="s">
        <v>3</v>
      </c>
      <c r="E30" s="1"/>
    </row>
    <row r="31" spans="1:5" ht="15" customHeight="1" x14ac:dyDescent="0.3">
      <c r="A31" s="1"/>
      <c r="B31" s="25" t="s">
        <v>70</v>
      </c>
      <c r="C31" s="53"/>
      <c r="D31" s="19"/>
      <c r="E31" s="1"/>
    </row>
    <row r="32" spans="1:5" ht="15.6" customHeight="1" x14ac:dyDescent="0.3">
      <c r="A32" s="1"/>
      <c r="B32" s="58" t="s">
        <v>71</v>
      </c>
      <c r="C32" s="10">
        <v>0</v>
      </c>
      <c r="D32" s="11" t="s">
        <v>3</v>
      </c>
      <c r="E32" s="1"/>
    </row>
    <row r="33" spans="1:5" ht="15.6" customHeight="1" x14ac:dyDescent="0.3">
      <c r="A33" s="1"/>
      <c r="B33" s="25" t="s">
        <v>193</v>
      </c>
      <c r="C33" s="53"/>
      <c r="D33" s="19"/>
      <c r="E33" s="1"/>
    </row>
    <row r="34" spans="1:5" ht="15.6" customHeight="1" x14ac:dyDescent="0.3">
      <c r="A34" s="1"/>
      <c r="B34" s="58" t="s">
        <v>194</v>
      </c>
      <c r="C34" s="10">
        <v>665476.09418056509</v>
      </c>
      <c r="D34" s="11" t="s">
        <v>3</v>
      </c>
      <c r="E34" s="1"/>
    </row>
    <row r="35" spans="1:5" ht="15.6" customHeight="1" x14ac:dyDescent="0.3">
      <c r="A35" s="1"/>
      <c r="B35" s="52" t="s">
        <v>67</v>
      </c>
      <c r="C35" s="29">
        <v>66965629.954414606</v>
      </c>
      <c r="D35" s="19" t="s">
        <v>3</v>
      </c>
      <c r="E35" s="1"/>
    </row>
    <row r="36" spans="1:5" ht="30" customHeight="1" x14ac:dyDescent="0.3">
      <c r="A36" s="1"/>
      <c r="B36" s="97" t="s">
        <v>195</v>
      </c>
      <c r="C36" s="97"/>
      <c r="D36" s="97"/>
      <c r="E36" s="1"/>
    </row>
    <row r="37" spans="1:5" ht="27.75" customHeight="1"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x14ac:dyDescent="0.3">
      <c r="A51" s="1"/>
      <c r="B51" s="1"/>
      <c r="C51" s="1"/>
      <c r="D51" s="1"/>
      <c r="E51" s="1"/>
    </row>
    <row r="52" spans="1:5" hidden="1" x14ac:dyDescent="0.3"/>
  </sheetData>
  <sheetProtection algorithmName="SHA-512" hashValue="wBAbAklYMCygP+Nw5mpz7JeAsuJTP6LUxdhTy5Sj13KrkgHaEf0J4NXaoZ+5OH/NPa6Q2QDZC7tuyC4/l+EfoQ==" saltValue="69hcoNAUbcsjMEJukmhaug=="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33"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32"/>
      <c r="D2" s="1"/>
      <c r="E2" s="1"/>
    </row>
    <row r="3" spans="1:5" ht="15" customHeight="1" x14ac:dyDescent="0.3">
      <c r="A3" s="1"/>
      <c r="B3" s="96" t="s">
        <v>53</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32"/>
      <c r="D7" s="1"/>
      <c r="E7" s="1"/>
    </row>
    <row r="8" spans="1:5" x14ac:dyDescent="0.3">
      <c r="A8" s="1"/>
      <c r="B8" s="98" t="s">
        <v>75</v>
      </c>
      <c r="C8" s="99"/>
      <c r="D8" s="100"/>
      <c r="E8" s="1"/>
    </row>
    <row r="9" spans="1:5" x14ac:dyDescent="0.3">
      <c r="A9" s="1"/>
      <c r="B9" s="56" t="s">
        <v>167</v>
      </c>
      <c r="C9" s="22">
        <v>19710504.018972479</v>
      </c>
      <c r="D9" s="14" t="s">
        <v>3</v>
      </c>
      <c r="E9" s="1"/>
    </row>
    <row r="10" spans="1:5" x14ac:dyDescent="0.3">
      <c r="A10" s="1"/>
      <c r="B10" s="56" t="s">
        <v>110</v>
      </c>
      <c r="C10" s="22">
        <f>('Fane 3. Omkostninger i ØR2024'!C10+'Fane 3. Omkostninger i ØR2024'!C12+'Fane 3. Omkostninger i ØR2024'!C14)*(1+'Fane 13. Nøgletal'!C10)</f>
        <v>243469.33778612482</v>
      </c>
      <c r="D10" s="14" t="s">
        <v>3</v>
      </c>
      <c r="E10" s="1"/>
    </row>
    <row r="11" spans="1:5" x14ac:dyDescent="0.3">
      <c r="A11" s="1"/>
      <c r="B11" s="56" t="s">
        <v>81</v>
      </c>
      <c r="C11" s="22">
        <f>C9*'Fane 13. Nøgletal'!C23+C10*'Fane 13. Nøgletal'!C23</f>
        <v>399079.4671351721</v>
      </c>
      <c r="D11" s="14" t="s">
        <v>3</v>
      </c>
      <c r="E11" s="1"/>
    </row>
    <row r="12" spans="1:5" x14ac:dyDescent="0.3">
      <c r="A12" s="1"/>
      <c r="B12" s="52"/>
      <c r="C12" s="31"/>
      <c r="D12" s="19"/>
      <c r="E12" s="1"/>
    </row>
    <row r="13" spans="1:5" x14ac:dyDescent="0.3">
      <c r="A13" s="1"/>
      <c r="B13" s="1"/>
      <c r="C13" s="32"/>
      <c r="D13" s="1"/>
      <c r="E13" s="1"/>
    </row>
    <row r="14" spans="1:5" x14ac:dyDescent="0.3">
      <c r="A14" s="1"/>
      <c r="B14" s="98" t="s">
        <v>153</v>
      </c>
      <c r="C14" s="99"/>
      <c r="D14" s="100"/>
      <c r="E14" s="1"/>
    </row>
    <row r="15" spans="1:5" x14ac:dyDescent="0.3">
      <c r="A15" s="1"/>
      <c r="B15" s="56" t="s">
        <v>168</v>
      </c>
      <c r="C15" s="22">
        <f>(C9+C10-C11)*(1+'Fane 13. Nøgletal'!C11)</f>
        <v>20851383.354505464</v>
      </c>
      <c r="D15" s="14" t="s">
        <v>3</v>
      </c>
      <c r="E15" s="1"/>
    </row>
    <row r="16" spans="1:5" x14ac:dyDescent="0.3">
      <c r="A16" s="1"/>
      <c r="B16" s="56" t="s">
        <v>154</v>
      </c>
      <c r="C16" s="22">
        <f>('Fane 2.1. Økonomisk ramme 2025'!C10+'Fane 2.1. Økonomisk ramme 2025'!C12+'Fane 2.1. Økonomisk ramme 2025'!C14)*(1+'Fane 13. Nøgletal'!C11)</f>
        <v>1119061.4704030952</v>
      </c>
      <c r="D16" s="14" t="s">
        <v>3</v>
      </c>
      <c r="E16" s="1"/>
    </row>
    <row r="17" spans="1:5" x14ac:dyDescent="0.3">
      <c r="A17" s="1"/>
      <c r="B17" s="56" t="s">
        <v>155</v>
      </c>
      <c r="C17" s="22">
        <f>(C15+C16)*'Fane 13. Nøgletal'!C23</f>
        <v>439408.89649817115</v>
      </c>
      <c r="D17" s="14" t="s">
        <v>3</v>
      </c>
      <c r="E17" s="1"/>
    </row>
    <row r="18" spans="1:5" x14ac:dyDescent="0.3">
      <c r="A18" s="1"/>
      <c r="B18" s="52"/>
      <c r="C18" s="31"/>
      <c r="D18" s="19"/>
      <c r="E18" s="1"/>
    </row>
    <row r="19" spans="1:5" x14ac:dyDescent="0.3">
      <c r="A19" s="1"/>
      <c r="B19" s="1"/>
      <c r="C19" s="32"/>
      <c r="D19" s="1"/>
      <c r="E19" s="1"/>
    </row>
    <row r="20" spans="1:5" x14ac:dyDescent="0.3">
      <c r="A20" s="1"/>
      <c r="B20" s="98" t="s">
        <v>170</v>
      </c>
      <c r="C20" s="99"/>
      <c r="D20" s="100"/>
      <c r="E20" s="1"/>
    </row>
    <row r="21" spans="1:5" x14ac:dyDescent="0.3">
      <c r="A21" s="1"/>
      <c r="B21" s="56" t="s">
        <v>169</v>
      </c>
      <c r="C21" s="48">
        <f>(C15+C16-C17)*(1+'Fane 13. Nøgletal'!C11)</f>
        <v>22958543.610463999</v>
      </c>
      <c r="D21" s="14" t="s">
        <v>3</v>
      </c>
      <c r="E21" s="1"/>
    </row>
    <row r="22" spans="1:5" x14ac:dyDescent="0.3">
      <c r="A22" s="1"/>
      <c r="B22" s="56" t="s">
        <v>171</v>
      </c>
      <c r="C22" s="48">
        <f>(C21)*'Fane 13. Nøgletal'!C23</f>
        <v>459170.87220927997</v>
      </c>
      <c r="D22" s="14" t="s">
        <v>3</v>
      </c>
      <c r="E22" s="1"/>
    </row>
    <row r="23" spans="1:5" x14ac:dyDescent="0.3">
      <c r="A23" s="1"/>
      <c r="B23" s="52"/>
      <c r="C23" s="31"/>
      <c r="D23" s="19"/>
      <c r="E23" s="1"/>
    </row>
    <row r="24" spans="1:5" x14ac:dyDescent="0.3">
      <c r="A24" s="1"/>
      <c r="B24" s="1"/>
      <c r="C24" s="32"/>
      <c r="D24" s="1"/>
      <c r="E24" s="1"/>
    </row>
    <row r="25" spans="1:5" x14ac:dyDescent="0.3">
      <c r="A25" s="1"/>
      <c r="B25" s="98" t="s">
        <v>116</v>
      </c>
      <c r="C25" s="99"/>
      <c r="D25" s="100"/>
      <c r="E25" s="1"/>
    </row>
    <row r="26" spans="1:5" x14ac:dyDescent="0.3">
      <c r="A26" s="1"/>
      <c r="B26" s="56" t="s">
        <v>117</v>
      </c>
      <c r="C26" s="48">
        <f>(C21-C22)*(1+'Fane 13. Nøgletal'!C11)</f>
        <v>23991081.150801007</v>
      </c>
      <c r="D26" s="14" t="s">
        <v>3</v>
      </c>
      <c r="E26" s="1"/>
    </row>
    <row r="27" spans="1:5" x14ac:dyDescent="0.3">
      <c r="A27" s="1"/>
      <c r="B27" s="56" t="s">
        <v>118</v>
      </c>
      <c r="C27" s="48">
        <f>(C26)*'Fane 13. Nøgletal'!C23</f>
        <v>479821.62301602017</v>
      </c>
      <c r="D27" s="14" t="s">
        <v>3</v>
      </c>
      <c r="E27" s="1"/>
    </row>
    <row r="28" spans="1:5" x14ac:dyDescent="0.3">
      <c r="A28" s="1"/>
      <c r="B28" s="52"/>
      <c r="C28" s="42"/>
      <c r="D28" s="19"/>
      <c r="E28" s="1"/>
    </row>
    <row r="29" spans="1:5" x14ac:dyDescent="0.3">
      <c r="A29" s="1"/>
      <c r="B29" s="1"/>
      <c r="C29" s="32"/>
      <c r="D29" s="1"/>
      <c r="E29" s="1"/>
    </row>
    <row r="30" spans="1:5" x14ac:dyDescent="0.3">
      <c r="A30" s="1"/>
      <c r="B30" s="98" t="s">
        <v>136</v>
      </c>
      <c r="C30" s="99"/>
      <c r="D30" s="100"/>
      <c r="E30" s="1"/>
    </row>
    <row r="31" spans="1:5" x14ac:dyDescent="0.3">
      <c r="A31" s="1"/>
      <c r="B31" s="56" t="s">
        <v>137</v>
      </c>
      <c r="C31" s="48">
        <f>(C26-C27)*(1+'Fane 13. Nøgletal'!C11)</f>
        <v>25070056.034477133</v>
      </c>
      <c r="D31" s="14" t="s">
        <v>3</v>
      </c>
      <c r="E31" s="1"/>
    </row>
    <row r="32" spans="1:5" x14ac:dyDescent="0.3">
      <c r="A32" s="1"/>
      <c r="B32" s="56" t="s">
        <v>138</v>
      </c>
      <c r="C32" s="48">
        <f>(C31)*'Fane 13. Nøgletal'!C23</f>
        <v>501401.12068954267</v>
      </c>
      <c r="D32" s="14" t="s">
        <v>3</v>
      </c>
      <c r="E32" s="1"/>
    </row>
    <row r="33" spans="1:5" x14ac:dyDescent="0.3">
      <c r="A33" s="1"/>
      <c r="B33" s="52"/>
      <c r="C33" s="42"/>
      <c r="D33" s="19"/>
      <c r="E33" s="1"/>
    </row>
    <row r="34" spans="1:5" x14ac:dyDescent="0.3">
      <c r="A34" s="1"/>
      <c r="B34" s="1"/>
      <c r="C34" s="32"/>
      <c r="D34" s="1"/>
      <c r="E34" s="1"/>
    </row>
    <row r="35" spans="1:5" x14ac:dyDescent="0.3">
      <c r="A35" s="1"/>
      <c r="B35" s="1"/>
      <c r="C35" s="32"/>
      <c r="D35" s="1"/>
      <c r="E35" s="1"/>
    </row>
    <row r="36" spans="1:5" x14ac:dyDescent="0.3">
      <c r="A36" s="1"/>
      <c r="B36" s="1"/>
      <c r="C36" s="32"/>
      <c r="D36" s="1"/>
      <c r="E36" s="1"/>
    </row>
    <row r="37" spans="1:5" x14ac:dyDescent="0.3">
      <c r="A37" s="1"/>
      <c r="B37" s="1"/>
      <c r="C37" s="32"/>
      <c r="D37" s="1"/>
      <c r="E37" s="1"/>
    </row>
    <row r="38" spans="1:5" x14ac:dyDescent="0.3">
      <c r="A38" s="1"/>
      <c r="B38" s="1"/>
      <c r="C38" s="32"/>
      <c r="D38" s="1"/>
      <c r="E38" s="1"/>
    </row>
    <row r="39" spans="1:5" x14ac:dyDescent="0.3">
      <c r="A39" s="1"/>
      <c r="B39" s="1"/>
      <c r="C39" s="32"/>
      <c r="D39" s="1"/>
      <c r="E39" s="1"/>
    </row>
    <row r="40" spans="1:5" x14ac:dyDescent="0.3">
      <c r="A40" s="1"/>
      <c r="B40" s="1"/>
      <c r="C40" s="32"/>
      <c r="D40" s="1"/>
      <c r="E40" s="1"/>
    </row>
    <row r="41" spans="1:5" x14ac:dyDescent="0.3">
      <c r="A41" s="1"/>
      <c r="B41" s="1"/>
      <c r="C41" s="32"/>
      <c r="D41" s="1"/>
      <c r="E41" s="1"/>
    </row>
    <row r="42" spans="1:5" x14ac:dyDescent="0.3">
      <c r="A42" s="1"/>
      <c r="B42" s="1"/>
      <c r="C42" s="32"/>
      <c r="D42" s="1"/>
      <c r="E42" s="1"/>
    </row>
    <row r="43" spans="1:5" x14ac:dyDescent="0.3">
      <c r="A43" s="1"/>
      <c r="B43" s="1"/>
      <c r="C43" s="32"/>
      <c r="D43" s="1"/>
      <c r="E43" s="1"/>
    </row>
    <row r="44" spans="1:5" x14ac:dyDescent="0.3">
      <c r="A44" s="1"/>
      <c r="B44" s="1"/>
      <c r="C44" s="32"/>
      <c r="D44" s="1"/>
      <c r="E44" s="1"/>
    </row>
    <row r="45" spans="1:5" x14ac:dyDescent="0.3">
      <c r="A45" s="1"/>
      <c r="B45" s="1"/>
      <c r="C45" s="32"/>
      <c r="D45" s="1"/>
      <c r="E45" s="1"/>
    </row>
    <row r="46" spans="1:5" x14ac:dyDescent="0.3">
      <c r="A46" s="1"/>
      <c r="B46" s="1"/>
      <c r="C46" s="32"/>
      <c r="D46" s="1"/>
      <c r="E46" s="1"/>
    </row>
    <row r="47" spans="1:5" x14ac:dyDescent="0.3">
      <c r="A47" s="1"/>
      <c r="B47" s="1"/>
      <c r="C47" s="32"/>
      <c r="D47" s="1"/>
      <c r="E47" s="1"/>
    </row>
    <row r="48" spans="1:5" x14ac:dyDescent="0.3">
      <c r="A48" s="1"/>
      <c r="B48" s="1"/>
      <c r="C48" s="32"/>
      <c r="D48" s="1"/>
      <c r="E48" s="1"/>
    </row>
    <row r="49" spans="1:5" x14ac:dyDescent="0.3">
      <c r="A49" s="1"/>
      <c r="B49" s="1"/>
      <c r="C49" s="32"/>
      <c r="D49" s="1"/>
      <c r="E49" s="1"/>
    </row>
    <row r="50" spans="1:5" x14ac:dyDescent="0.3">
      <c r="A50" s="1"/>
      <c r="B50" s="1"/>
      <c r="C50" s="32"/>
      <c r="D50" s="1"/>
      <c r="E50" s="1"/>
    </row>
  </sheetData>
  <sheetProtection algorithmName="SHA-512" hashValue="ksT9tlx5CL6GIW8QfSICZlJM8KnRL3uOMpBC7AXzgZatXGESw8OIKmwovXRcTSnk5mR2ng8z65pLHSHh7bN9+w==" saltValue="d7kOU4bFZ/GNhizJFRPcyA=="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4.4" zeroHeight="1" x14ac:dyDescent="0.3"/>
  <cols>
    <col min="1" max="1" width="5.33203125" style="2" customWidth="1"/>
    <col min="2" max="2" width="58"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x14ac:dyDescent="0.3">
      <c r="A3" s="1"/>
      <c r="B3" s="101" t="s">
        <v>54</v>
      </c>
      <c r="C3" s="102"/>
      <c r="D3" s="102"/>
      <c r="E3" s="1"/>
    </row>
    <row r="4" spans="1:5" ht="15" customHeight="1" x14ac:dyDescent="0.3">
      <c r="A4" s="1"/>
      <c r="B4" s="102"/>
      <c r="C4" s="102"/>
      <c r="D4" s="102"/>
      <c r="E4" s="1"/>
    </row>
    <row r="5" spans="1:5" ht="15" customHeight="1" x14ac:dyDescent="0.3">
      <c r="A5" s="1"/>
      <c r="B5" s="102"/>
      <c r="C5" s="102"/>
      <c r="D5" s="102"/>
      <c r="E5" s="1"/>
    </row>
    <row r="6" spans="1:5" ht="15" customHeight="1" x14ac:dyDescent="0.3">
      <c r="A6" s="1"/>
      <c r="B6" s="1"/>
      <c r="C6" s="1"/>
      <c r="D6" s="1"/>
      <c r="E6" s="1"/>
    </row>
    <row r="7" spans="1:5" ht="15" customHeight="1" x14ac:dyDescent="0.3">
      <c r="A7" s="1"/>
      <c r="B7" s="1"/>
      <c r="C7" s="1"/>
      <c r="D7" s="1"/>
      <c r="E7" s="1"/>
    </row>
    <row r="8" spans="1:5" x14ac:dyDescent="0.3">
      <c r="A8" s="1"/>
      <c r="B8" s="98" t="s">
        <v>76</v>
      </c>
      <c r="C8" s="99"/>
      <c r="D8" s="100"/>
      <c r="E8" s="1"/>
    </row>
    <row r="9" spans="1:5" x14ac:dyDescent="0.3">
      <c r="A9" s="1"/>
      <c r="B9" s="56" t="s">
        <v>162</v>
      </c>
      <c r="C9" s="48">
        <v>18094183.173451044</v>
      </c>
      <c r="D9" s="14" t="s">
        <v>3</v>
      </c>
      <c r="E9" s="1"/>
    </row>
    <row r="10" spans="1:5" x14ac:dyDescent="0.3">
      <c r="A10" s="1"/>
      <c r="B10" s="56" t="s">
        <v>113</v>
      </c>
      <c r="C10" s="48">
        <f>('Fane 3. Omkostninger i ØR2024'!C11+'Fane 3. Omkostninger i ØR2024'!C13+'Fane 3. Omkostninger i ØR2024'!C15)*(1+'Fane 13. Nøgletal'!C10)</f>
        <v>34962.545765369599</v>
      </c>
      <c r="D10" s="14" t="s">
        <v>3</v>
      </c>
      <c r="E10" s="1"/>
    </row>
    <row r="11" spans="1:5" x14ac:dyDescent="0.3">
      <c r="A11" s="1"/>
      <c r="B11" s="56" t="s">
        <v>114</v>
      </c>
      <c r="C11" s="75">
        <f>(C9)*'Fane 13. Nøgletal'!C16+C10*'Fane 13. Nøgletal'!C17</f>
        <v>0</v>
      </c>
      <c r="D11" s="14" t="s">
        <v>3</v>
      </c>
      <c r="E11" s="1"/>
    </row>
    <row r="12" spans="1:5" x14ac:dyDescent="0.3">
      <c r="A12" s="1"/>
      <c r="B12" s="52"/>
      <c r="C12" s="53"/>
      <c r="D12" s="19"/>
      <c r="E12" s="1"/>
    </row>
    <row r="13" spans="1:5" x14ac:dyDescent="0.3">
      <c r="A13" s="1"/>
      <c r="B13" s="1"/>
      <c r="C13" s="1"/>
      <c r="D13" s="1"/>
      <c r="E13" s="1"/>
    </row>
    <row r="14" spans="1:5" x14ac:dyDescent="0.3">
      <c r="A14" s="1"/>
      <c r="B14" s="98" t="s">
        <v>156</v>
      </c>
      <c r="C14" s="99"/>
      <c r="D14" s="100"/>
      <c r="E14" s="1"/>
    </row>
    <row r="15" spans="1:5" x14ac:dyDescent="0.3">
      <c r="A15" s="1"/>
      <c r="B15" s="56" t="s">
        <v>163</v>
      </c>
      <c r="C15" s="48">
        <f>(C9+C10-C11)*(1+'Fane 13. Nøgletal'!C11)</f>
        <v>19331108.080400463</v>
      </c>
      <c r="D15" s="14" t="s">
        <v>3</v>
      </c>
      <c r="E15" s="1"/>
    </row>
    <row r="16" spans="1:5" x14ac:dyDescent="0.3">
      <c r="A16" s="1"/>
      <c r="B16" s="56" t="s">
        <v>157</v>
      </c>
      <c r="C16" s="48">
        <f>('Fane 2.1. Økonomisk ramme 2025'!C11+'Fane 2.1. Økonomisk ramme 2025'!C13+'Fane 2.1. Økonomisk ramme 2025'!C15)*(1+'Fane 13. Nøgletal'!C11)</f>
        <v>4410393.0014003413</v>
      </c>
      <c r="D16" s="14" t="s">
        <v>3</v>
      </c>
      <c r="E16" s="1"/>
    </row>
    <row r="17" spans="1:5" x14ac:dyDescent="0.3">
      <c r="A17" s="1"/>
      <c r="B17" s="56" t="s">
        <v>158</v>
      </c>
      <c r="C17" s="75">
        <f>(C15+C16)*'Fane 13. Nøgletal'!C18</f>
        <v>0</v>
      </c>
      <c r="D17" s="14" t="s">
        <v>3</v>
      </c>
      <c r="E17" s="1"/>
    </row>
    <row r="18" spans="1:5" x14ac:dyDescent="0.3">
      <c r="A18" s="1"/>
      <c r="B18" s="52"/>
      <c r="C18" s="53"/>
      <c r="D18" s="19"/>
      <c r="E18" s="1"/>
    </row>
    <row r="19" spans="1:5" x14ac:dyDescent="0.3">
      <c r="A19" s="1"/>
      <c r="B19" s="1"/>
      <c r="C19" s="1"/>
      <c r="D19" s="1"/>
      <c r="E19" s="1"/>
    </row>
    <row r="20" spans="1:5" x14ac:dyDescent="0.3">
      <c r="A20" s="1"/>
      <c r="B20" s="98" t="s">
        <v>166</v>
      </c>
      <c r="C20" s="99"/>
      <c r="D20" s="100"/>
      <c r="E20" s="1"/>
    </row>
    <row r="21" spans="1:5" x14ac:dyDescent="0.3">
      <c r="A21" s="1"/>
      <c r="B21" s="56" t="s">
        <v>164</v>
      </c>
      <c r="C21" s="48">
        <f>(C15+C16-C17)*(1+'Fane 13. Nøgletal'!C11)</f>
        <v>25315562.603524197</v>
      </c>
      <c r="D21" s="14" t="s">
        <v>3</v>
      </c>
      <c r="E21" s="1"/>
    </row>
    <row r="22" spans="1:5" x14ac:dyDescent="0.3">
      <c r="A22" s="1"/>
      <c r="B22" s="56" t="s">
        <v>165</v>
      </c>
      <c r="C22" s="75">
        <f>(C21)*'Fane 13. Nøgletal'!C18</f>
        <v>0</v>
      </c>
      <c r="D22" s="14" t="s">
        <v>3</v>
      </c>
      <c r="E22" s="1"/>
    </row>
    <row r="23" spans="1:5" x14ac:dyDescent="0.3">
      <c r="A23" s="1"/>
      <c r="B23" s="52"/>
      <c r="C23" s="53"/>
      <c r="D23" s="19"/>
      <c r="E23" s="1"/>
    </row>
    <row r="24" spans="1:5" x14ac:dyDescent="0.3">
      <c r="A24" s="1"/>
      <c r="B24" s="1"/>
      <c r="C24" s="1"/>
      <c r="D24" s="1"/>
      <c r="E24" s="1"/>
    </row>
    <row r="25" spans="1:5" x14ac:dyDescent="0.3">
      <c r="A25" s="1"/>
      <c r="B25" s="98" t="s">
        <v>119</v>
      </c>
      <c r="C25" s="99"/>
      <c r="D25" s="100"/>
      <c r="E25" s="1"/>
    </row>
    <row r="26" spans="1:5" x14ac:dyDescent="0.3">
      <c r="A26" s="1"/>
      <c r="B26" s="56" t="s">
        <v>120</v>
      </c>
      <c r="C26" s="48">
        <f>(C21-C22)*(1+'Fane 13. Nøgletal'!C11)</f>
        <v>26993984.404137854</v>
      </c>
      <c r="D26" s="14" t="s">
        <v>3</v>
      </c>
      <c r="E26" s="1"/>
    </row>
    <row r="27" spans="1:5" x14ac:dyDescent="0.3">
      <c r="A27" s="1"/>
      <c r="B27" s="56" t="s">
        <v>121</v>
      </c>
      <c r="C27" s="75">
        <f>(C26)*'Fane 13. Nøgletal'!C18</f>
        <v>0</v>
      </c>
      <c r="D27" s="14" t="s">
        <v>3</v>
      </c>
      <c r="E27" s="1"/>
    </row>
    <row r="28" spans="1:5" x14ac:dyDescent="0.3">
      <c r="A28" s="1"/>
      <c r="B28" s="52"/>
      <c r="C28" s="53"/>
      <c r="D28" s="19"/>
      <c r="E28" s="1"/>
    </row>
    <row r="29" spans="1:5" x14ac:dyDescent="0.3">
      <c r="A29" s="1"/>
      <c r="B29" s="1"/>
      <c r="C29" s="1"/>
      <c r="D29" s="1"/>
      <c r="E29" s="1"/>
    </row>
    <row r="30" spans="1:5" x14ac:dyDescent="0.3">
      <c r="A30" s="1"/>
      <c r="B30" s="98" t="s">
        <v>139</v>
      </c>
      <c r="C30" s="99"/>
      <c r="D30" s="100"/>
      <c r="E30" s="1"/>
    </row>
    <row r="31" spans="1:5" x14ac:dyDescent="0.3">
      <c r="A31" s="1"/>
      <c r="B31" s="56" t="s">
        <v>140</v>
      </c>
      <c r="C31" s="48">
        <f>(C26-C27)*(1+'Fane 13. Nøgletal'!C11)</f>
        <v>28783685.570132192</v>
      </c>
      <c r="D31" s="14" t="s">
        <v>3</v>
      </c>
      <c r="E31" s="1"/>
    </row>
    <row r="32" spans="1:5" x14ac:dyDescent="0.3">
      <c r="A32" s="1"/>
      <c r="B32" s="56" t="s">
        <v>141</v>
      </c>
      <c r="C32" s="75">
        <f>(C31)*'Fane 13. Nøgletal'!C18</f>
        <v>0</v>
      </c>
      <c r="D32" s="14" t="s">
        <v>3</v>
      </c>
      <c r="E32" s="1"/>
    </row>
    <row r="33" spans="1:5" x14ac:dyDescent="0.3">
      <c r="A33" s="1"/>
      <c r="B33" s="52"/>
      <c r="C33" s="53"/>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lYBfiCxZtjFdf4uB7/MwnMZ2tcl4ONKrUmqDQNbZgkeWzuVgtr7wFxqAhz+VyvUt5MqXGOz5Z/7fCDkM74zxAg==" saltValue="Ds+V56HzMVp+plcTMnMbY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94" t="s">
        <v>41</v>
      </c>
      <c r="C3" s="94"/>
      <c r="D3" s="1"/>
    </row>
    <row r="4" spans="1:4" ht="15" customHeight="1" x14ac:dyDescent="0.3">
      <c r="A4" s="1"/>
      <c r="B4" s="94"/>
      <c r="C4" s="94"/>
      <c r="D4" s="1"/>
    </row>
    <row r="5" spans="1:4" x14ac:dyDescent="0.3">
      <c r="A5" s="1"/>
      <c r="B5" s="1"/>
      <c r="C5" s="1"/>
      <c r="D5" s="1"/>
    </row>
    <row r="6" spans="1:4" x14ac:dyDescent="0.3">
      <c r="A6" s="1"/>
      <c r="B6" s="1"/>
      <c r="C6" s="1"/>
      <c r="D6" s="1"/>
    </row>
    <row r="7" spans="1:4" x14ac:dyDescent="0.3">
      <c r="A7" s="1"/>
      <c r="B7" s="1"/>
      <c r="C7" s="1"/>
      <c r="D7" s="1"/>
    </row>
    <row r="8" spans="1:4" x14ac:dyDescent="0.3">
      <c r="A8" s="1"/>
      <c r="B8" s="98" t="s">
        <v>9</v>
      </c>
      <c r="C8" s="100"/>
      <c r="D8" s="1"/>
    </row>
    <row r="9" spans="1:4" x14ac:dyDescent="0.3">
      <c r="A9" s="1"/>
      <c r="B9" s="56" t="s">
        <v>160</v>
      </c>
      <c r="C9" s="44">
        <v>0</v>
      </c>
      <c r="D9" s="1"/>
    </row>
    <row r="10" spans="1:4" x14ac:dyDescent="0.3">
      <c r="A10" s="1"/>
      <c r="B10" s="52"/>
      <c r="C10" s="19"/>
      <c r="D10" s="1"/>
    </row>
    <row r="11" spans="1:4" ht="15" customHeight="1" x14ac:dyDescent="0.3">
      <c r="A11" s="1"/>
      <c r="B11" s="103" t="s">
        <v>161</v>
      </c>
      <c r="C11" s="104"/>
      <c r="D11" s="1"/>
    </row>
    <row r="12" spans="1:4" ht="13.5" customHeight="1" x14ac:dyDescent="0.3">
      <c r="A12" s="1"/>
      <c r="B12" s="105"/>
      <c r="C12" s="106"/>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ht="15" customHeight="1"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HmIoPSU6vK3eAQKxXOvW0zpx9/MAUEsW3dr58mLqwC095PAeiVqWk6WF7H21ZT/iSpAKf5nmh557gfXeSntibw==" saltValue="1Mya0cyNaNzaESN+6uD3dQ=="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8.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55</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142</v>
      </c>
      <c r="C8" s="99"/>
      <c r="D8" s="100"/>
      <c r="E8" s="1"/>
    </row>
    <row r="9" spans="1:5" ht="15" customHeight="1" x14ac:dyDescent="0.3">
      <c r="A9" s="1"/>
      <c r="B9" s="51" t="s">
        <v>27</v>
      </c>
      <c r="C9" s="45" t="s">
        <v>145</v>
      </c>
      <c r="D9" s="11"/>
      <c r="E9" s="1"/>
    </row>
    <row r="10" spans="1:5" ht="15" customHeight="1" x14ac:dyDescent="0.3">
      <c r="A10" s="1"/>
      <c r="B10" s="64" t="s">
        <v>199</v>
      </c>
      <c r="C10" s="65">
        <v>21203634</v>
      </c>
      <c r="D10" s="14" t="s">
        <v>3</v>
      </c>
      <c r="E10" s="1"/>
    </row>
    <row r="11" spans="1:5" x14ac:dyDescent="0.3">
      <c r="A11" s="1"/>
      <c r="B11" s="64" t="s">
        <v>200</v>
      </c>
      <c r="C11" s="65">
        <v>115121</v>
      </c>
      <c r="D11" s="14" t="s">
        <v>3</v>
      </c>
      <c r="E11" s="1"/>
    </row>
    <row r="12" spans="1:5" ht="26.4" x14ac:dyDescent="0.3">
      <c r="A12" s="1"/>
      <c r="B12" s="64" t="s">
        <v>201</v>
      </c>
      <c r="C12" s="65">
        <v>2573096</v>
      </c>
      <c r="D12" s="14" t="s">
        <v>3</v>
      </c>
      <c r="E12" s="1"/>
    </row>
    <row r="13" spans="1:5" x14ac:dyDescent="0.3">
      <c r="A13" s="1"/>
      <c r="B13" s="64" t="s">
        <v>202</v>
      </c>
      <c r="C13" s="65">
        <v>249624</v>
      </c>
      <c r="D13" s="14" t="s">
        <v>3</v>
      </c>
      <c r="E13" s="1"/>
    </row>
    <row r="14" spans="1:5" x14ac:dyDescent="0.3">
      <c r="A14" s="1"/>
      <c r="B14" s="64" t="s">
        <v>203</v>
      </c>
      <c r="C14" s="65">
        <v>839452</v>
      </c>
      <c r="D14" s="14" t="s">
        <v>3</v>
      </c>
      <c r="E14" s="1"/>
    </row>
    <row r="15" spans="1:5" x14ac:dyDescent="0.3">
      <c r="A15" s="1"/>
      <c r="B15" s="64" t="s">
        <v>204</v>
      </c>
      <c r="C15" s="65">
        <v>301944</v>
      </c>
      <c r="D15" s="14" t="s">
        <v>3</v>
      </c>
      <c r="E15" s="1"/>
    </row>
    <row r="16" spans="1:5" x14ac:dyDescent="0.3">
      <c r="A16" s="1"/>
      <c r="B16" s="64"/>
      <c r="C16" s="65"/>
      <c r="D16" s="14" t="s">
        <v>3</v>
      </c>
      <c r="E16" s="1"/>
    </row>
    <row r="17" spans="1:5" x14ac:dyDescent="0.3">
      <c r="A17" s="1"/>
      <c r="B17" s="64"/>
      <c r="C17" s="65"/>
      <c r="D17" s="14" t="s">
        <v>3</v>
      </c>
      <c r="E17" s="1"/>
    </row>
    <row r="18" spans="1:5" x14ac:dyDescent="0.3">
      <c r="A18" s="1"/>
      <c r="B18" s="64"/>
      <c r="C18" s="65"/>
      <c r="D18" s="14" t="s">
        <v>3</v>
      </c>
      <c r="E18" s="1"/>
    </row>
    <row r="19" spans="1:5" x14ac:dyDescent="0.3">
      <c r="A19" s="1"/>
      <c r="B19" s="52" t="s">
        <v>143</v>
      </c>
      <c r="C19" s="12">
        <f>SUM(C10:C18)</f>
        <v>25282871</v>
      </c>
      <c r="D19" s="13" t="s">
        <v>3</v>
      </c>
      <c r="E19" s="1"/>
    </row>
    <row r="20" spans="1:5" x14ac:dyDescent="0.3">
      <c r="A20" s="1"/>
      <c r="B20" s="52" t="s">
        <v>144</v>
      </c>
      <c r="C20" s="12">
        <f>C19*(1+'Fane 13. Nøgletal'!C11)^2</f>
        <v>28746515.357825991</v>
      </c>
      <c r="D20" s="13" t="s">
        <v>3</v>
      </c>
      <c r="E20" s="1"/>
    </row>
    <row r="21" spans="1:5" x14ac:dyDescent="0.3">
      <c r="A21" s="1"/>
      <c r="B21" s="16"/>
      <c r="C21" s="15"/>
      <c r="D21" s="15"/>
      <c r="E21" s="1"/>
    </row>
    <row r="22" spans="1:5" x14ac:dyDescent="0.3">
      <c r="A22" s="1"/>
      <c r="B22" s="16"/>
      <c r="C22" s="15"/>
      <c r="D22" s="15"/>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hidden="1" x14ac:dyDescent="0.3">
      <c r="A51" s="40"/>
      <c r="B51" s="40"/>
      <c r="C51" s="40"/>
      <c r="D51" s="40"/>
      <c r="E51" s="40"/>
    </row>
    <row r="52" spans="1:5" hidden="1" x14ac:dyDescent="0.3">
      <c r="A52" s="40"/>
      <c r="B52" s="40"/>
      <c r="C52" s="40"/>
      <c r="D52" s="40"/>
      <c r="E52" s="40"/>
    </row>
    <row r="53" spans="1:5" hidden="1" x14ac:dyDescent="0.3">
      <c r="A53" s="40"/>
      <c r="B53" s="40"/>
      <c r="C53" s="40"/>
      <c r="D53" s="40"/>
      <c r="E53" s="40"/>
    </row>
    <row r="54" spans="1:5" hidden="1" x14ac:dyDescent="0.3">
      <c r="A54" s="40"/>
      <c r="B54" s="40"/>
      <c r="C54" s="40"/>
      <c r="D54" s="40"/>
      <c r="E54" s="40"/>
    </row>
    <row r="55" spans="1:5" hidden="1" x14ac:dyDescent="0.3">
      <c r="A55" s="40"/>
      <c r="B55" s="40"/>
      <c r="C55" s="40"/>
      <c r="D55" s="40"/>
      <c r="E55" s="40"/>
    </row>
    <row r="56" spans="1:5" hidden="1" x14ac:dyDescent="0.3">
      <c r="A56" s="40"/>
      <c r="B56" s="40"/>
      <c r="C56" s="40"/>
      <c r="D56" s="40"/>
      <c r="E56" s="40"/>
    </row>
  </sheetData>
  <sheetProtection algorithmName="SHA-512" hashValue="jr5YFnFSSPemkwc4cW48SFHUFWTO+c0ebsJdHIWxJs2pYdp61Rx0U4H43qNsbxlw3MZUMrt9ErsrCIqM+4PHlA==" saltValue="yQfZKm1TdbQV5hO16iO/u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172</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1"/>
      <c r="D7" s="1"/>
      <c r="E7" s="1"/>
    </row>
    <row r="8" spans="1:5" x14ac:dyDescent="0.3">
      <c r="A8" s="1"/>
      <c r="B8" s="98" t="s">
        <v>175</v>
      </c>
      <c r="C8" s="99"/>
      <c r="D8" s="100"/>
      <c r="E8" s="1"/>
    </row>
    <row r="9" spans="1:5" x14ac:dyDescent="0.3">
      <c r="A9" s="1"/>
      <c r="B9" s="56" t="s">
        <v>176</v>
      </c>
      <c r="C9" s="9">
        <v>-755250.5142236203</v>
      </c>
      <c r="D9" s="39" t="s">
        <v>3</v>
      </c>
      <c r="E9" s="1"/>
    </row>
    <row r="10" spans="1:5" x14ac:dyDescent="0.3">
      <c r="A10" s="1"/>
      <c r="B10" s="56" t="s">
        <v>174</v>
      </c>
      <c r="C10" s="9">
        <v>1994898.9735862762</v>
      </c>
      <c r="D10" s="14" t="s">
        <v>3</v>
      </c>
      <c r="E10" s="1"/>
    </row>
    <row r="11" spans="1:5" x14ac:dyDescent="0.3">
      <c r="A11" s="1"/>
      <c r="B11" s="52"/>
      <c r="C11" s="53"/>
      <c r="D11" s="19"/>
      <c r="E11" s="1"/>
    </row>
    <row r="12" spans="1:5" ht="53.85" customHeight="1" x14ac:dyDescent="0.3">
      <c r="A12" s="1"/>
      <c r="B12" s="107" t="s">
        <v>173</v>
      </c>
      <c r="C12" s="108"/>
      <c r="D12" s="109"/>
      <c r="E12" s="1"/>
    </row>
    <row r="13" spans="1:5" x14ac:dyDescent="0.3">
      <c r="A13" s="1"/>
      <c r="B13" s="1"/>
      <c r="C13" s="1"/>
      <c r="D13" s="1"/>
      <c r="E13" s="1"/>
    </row>
    <row r="14" spans="1:5" x14ac:dyDescent="0.3">
      <c r="A14" s="1"/>
      <c r="B14" s="68" t="s">
        <v>177</v>
      </c>
      <c r="C14" s="69"/>
      <c r="D14" s="70"/>
      <c r="E14" s="1"/>
    </row>
    <row r="15" spans="1:5" x14ac:dyDescent="0.3">
      <c r="A15" s="1"/>
      <c r="B15" s="56" t="s">
        <v>178</v>
      </c>
      <c r="C15" s="9">
        <f>IF(C10&lt;0,C10,0)</f>
        <v>0</v>
      </c>
      <c r="D15" s="14" t="s">
        <v>3</v>
      </c>
      <c r="E15" s="1"/>
    </row>
    <row r="16" spans="1:5" x14ac:dyDescent="0.3">
      <c r="A16" s="1"/>
      <c r="B16" s="56" t="s">
        <v>185</v>
      </c>
      <c r="C16" s="9">
        <f>IF(SUM(C9)&gt;0,SUM(C9),0)</f>
        <v>0</v>
      </c>
      <c r="D16" s="14" t="s">
        <v>3</v>
      </c>
      <c r="E16" s="1"/>
    </row>
    <row r="17" spans="1:5" ht="27" x14ac:dyDescent="0.3">
      <c r="A17" s="1"/>
      <c r="B17" s="71" t="s">
        <v>179</v>
      </c>
      <c r="C17" s="62">
        <f>IF(SUM(C15:C16)&gt;0,0,SUM(C15:C16))</f>
        <v>0</v>
      </c>
      <c r="D17" s="17" t="s">
        <v>3</v>
      </c>
      <c r="E17" s="1"/>
    </row>
    <row r="18" spans="1:5" x14ac:dyDescent="0.3">
      <c r="A18" s="1"/>
      <c r="B18" s="52"/>
      <c r="C18" s="53"/>
      <c r="D18" s="19"/>
      <c r="E18" s="1"/>
    </row>
    <row r="19" spans="1:5" x14ac:dyDescent="0.3">
      <c r="A19" s="1"/>
      <c r="B19" s="1"/>
      <c r="C19" s="1"/>
      <c r="D19" s="1"/>
      <c r="E19" s="1"/>
    </row>
    <row r="20" spans="1:5" x14ac:dyDescent="0.3">
      <c r="A20" s="1"/>
      <c r="B20" s="68" t="s">
        <v>180</v>
      </c>
      <c r="C20" s="69"/>
      <c r="D20" s="70"/>
      <c r="E20" s="1"/>
    </row>
    <row r="21" spans="1:5" x14ac:dyDescent="0.3">
      <c r="A21" s="1"/>
      <c r="B21" s="56" t="s">
        <v>181</v>
      </c>
      <c r="C21" s="9">
        <v>63207023.415151328</v>
      </c>
      <c r="D21" s="14" t="s">
        <v>3</v>
      </c>
      <c r="E21" s="1"/>
    </row>
    <row r="22" spans="1:5" x14ac:dyDescent="0.3">
      <c r="A22" s="1"/>
      <c r="B22" s="56" t="s">
        <v>182</v>
      </c>
      <c r="C22" s="9">
        <v>59694997</v>
      </c>
      <c r="D22" s="14" t="s">
        <v>3</v>
      </c>
      <c r="E22" s="1"/>
    </row>
    <row r="23" spans="1:5" x14ac:dyDescent="0.3">
      <c r="A23" s="1"/>
      <c r="B23" s="56" t="s">
        <v>28</v>
      </c>
      <c r="C23" s="9">
        <v>0</v>
      </c>
      <c r="D23" s="14" t="s">
        <v>3</v>
      </c>
      <c r="E23" s="1"/>
    </row>
    <row r="24" spans="1:5" x14ac:dyDescent="0.3">
      <c r="A24" s="1"/>
      <c r="B24" s="73" t="s">
        <v>183</v>
      </c>
      <c r="C24" s="46">
        <f>C21-C22-C23</f>
        <v>3512026.4151513278</v>
      </c>
      <c r="D24" s="17" t="s">
        <v>3</v>
      </c>
      <c r="E24" s="1"/>
    </row>
    <row r="25" spans="1:5" x14ac:dyDescent="0.3">
      <c r="A25" s="1"/>
      <c r="B25" s="52"/>
      <c r="C25" s="53"/>
      <c r="D25" s="19"/>
      <c r="E25" s="1"/>
    </row>
    <row r="26" spans="1:5" x14ac:dyDescent="0.3">
      <c r="A26" s="1"/>
      <c r="B26" s="1"/>
      <c r="C26" s="1"/>
      <c r="D26" s="1"/>
      <c r="E26" s="1"/>
    </row>
    <row r="27" spans="1:5" x14ac:dyDescent="0.3">
      <c r="A27" s="1"/>
      <c r="B27" s="98" t="s">
        <v>184</v>
      </c>
      <c r="C27" s="99"/>
      <c r="D27" s="100"/>
      <c r="E27" s="1"/>
    </row>
    <row r="28" spans="1:5" x14ac:dyDescent="0.3">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3">
      <c r="A29" s="1"/>
      <c r="B29" s="57" t="s">
        <v>48</v>
      </c>
      <c r="C29" s="9">
        <v>2</v>
      </c>
      <c r="D29" s="14" t="s">
        <v>18</v>
      </c>
      <c r="E29" s="1"/>
    </row>
    <row r="30" spans="1:5" x14ac:dyDescent="0.3">
      <c r="A30" s="1"/>
      <c r="B30" s="58" t="s">
        <v>64</v>
      </c>
      <c r="C30" s="10">
        <f>C28/C29</f>
        <v>0</v>
      </c>
      <c r="D30" s="17" t="s">
        <v>3</v>
      </c>
      <c r="E30" s="1"/>
    </row>
    <row r="31" spans="1:5" x14ac:dyDescent="0.3">
      <c r="A31" s="1"/>
      <c r="B31" s="110"/>
      <c r="C31" s="111"/>
      <c r="D31" s="112"/>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hidden="1" x14ac:dyDescent="0.3">
      <c r="A48" s="40"/>
      <c r="B48" s="40"/>
      <c r="C48" s="40"/>
      <c r="D48" s="40"/>
      <c r="E48" s="40"/>
    </row>
    <row r="49" spans="1:5" hidden="1" x14ac:dyDescent="0.3">
      <c r="A49" s="40"/>
      <c r="B49" s="40"/>
      <c r="C49" s="40"/>
      <c r="D49" s="40"/>
      <c r="E49" s="40"/>
    </row>
    <row r="50" spans="1:5" hidden="1" x14ac:dyDescent="0.3">
      <c r="A50" s="40"/>
      <c r="B50" s="40"/>
      <c r="C50" s="40"/>
      <c r="D50" s="40"/>
      <c r="E50" s="40"/>
    </row>
    <row r="51" spans="1:5" hidden="1" x14ac:dyDescent="0.3">
      <c r="A51" s="40"/>
      <c r="E51" s="40"/>
    </row>
  </sheetData>
  <sheetProtection algorithmName="SHA-512" hashValue="u7fIzzAs4VV4gRz385EnNTuYguIS5aRukRuRTxSn9mDCuBfPIc6ir9LYzBet/krNRaGm31azGEzjJr64EPc8bg==" saltValue="2jCun+23k71E5A6mFPtrZ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4.4" zeroHeight="1" x14ac:dyDescent="0.3"/>
  <cols>
    <col min="1" max="1" width="5.33203125" style="30" customWidth="1"/>
    <col min="2" max="2" width="57.109375" style="30" customWidth="1"/>
    <col min="3" max="3" width="12.5546875" style="30" customWidth="1"/>
    <col min="4" max="4" width="3.109375" style="30" customWidth="1"/>
    <col min="5" max="5" width="5.33203125" style="30" customWidth="1"/>
    <col min="6" max="16384" width="9.109375" style="30" hidden="1"/>
  </cols>
  <sheetData>
    <row r="1" spans="1:5" x14ac:dyDescent="0.3">
      <c r="A1" s="1"/>
      <c r="B1" s="1"/>
      <c r="C1" s="1"/>
      <c r="D1" s="1"/>
      <c r="E1" s="1"/>
    </row>
    <row r="2" spans="1:5" x14ac:dyDescent="0.3">
      <c r="A2" s="1"/>
      <c r="B2" s="1"/>
      <c r="C2" s="1"/>
      <c r="D2" s="1"/>
      <c r="E2" s="1"/>
    </row>
    <row r="3" spans="1:5" ht="15" customHeight="1" x14ac:dyDescent="0.3">
      <c r="A3" s="1"/>
      <c r="B3" s="96" t="s">
        <v>96</v>
      </c>
      <c r="C3" s="96"/>
      <c r="D3" s="96"/>
      <c r="E3" s="1"/>
    </row>
    <row r="4" spans="1:5" ht="15" customHeight="1" x14ac:dyDescent="0.3">
      <c r="A4" s="1"/>
      <c r="B4" s="96"/>
      <c r="C4" s="96"/>
      <c r="D4" s="96"/>
      <c r="E4" s="1"/>
    </row>
    <row r="5" spans="1:5" x14ac:dyDescent="0.3">
      <c r="A5" s="1"/>
      <c r="B5" s="96"/>
      <c r="C5" s="96"/>
      <c r="D5" s="96"/>
      <c r="E5" s="1"/>
    </row>
    <row r="6" spans="1:5" x14ac:dyDescent="0.3">
      <c r="A6" s="1"/>
      <c r="B6" s="1"/>
      <c r="C6" s="1"/>
      <c r="D6" s="1"/>
      <c r="E6" s="1"/>
    </row>
    <row r="7" spans="1:5" x14ac:dyDescent="0.3">
      <c r="A7" s="1"/>
      <c r="B7" s="1"/>
      <c r="C7" s="1"/>
      <c r="D7" s="1"/>
      <c r="E7" s="1"/>
    </row>
    <row r="8" spans="1:5" x14ac:dyDescent="0.3">
      <c r="A8" s="1"/>
      <c r="B8" s="98" t="s">
        <v>97</v>
      </c>
      <c r="C8" s="99"/>
      <c r="D8" s="100"/>
      <c r="E8" s="1"/>
    </row>
    <row r="9" spans="1:5" ht="15" customHeight="1" x14ac:dyDescent="0.3">
      <c r="A9" s="1"/>
      <c r="B9" s="113" t="s">
        <v>123</v>
      </c>
      <c r="C9" s="114"/>
      <c r="D9" s="115"/>
      <c r="E9" s="1"/>
    </row>
    <row r="10" spans="1:5" x14ac:dyDescent="0.3">
      <c r="A10" s="1"/>
      <c r="B10" s="59" t="s">
        <v>98</v>
      </c>
      <c r="C10" s="41"/>
      <c r="D10" s="9" t="s">
        <v>3</v>
      </c>
      <c r="E10" s="1"/>
    </row>
    <row r="11" spans="1:5" x14ac:dyDescent="0.3">
      <c r="A11" s="1"/>
      <c r="B11" s="59" t="s">
        <v>99</v>
      </c>
      <c r="C11" s="41"/>
      <c r="D11" s="9" t="s">
        <v>3</v>
      </c>
      <c r="E11" s="1"/>
    </row>
    <row r="12" spans="1:5" x14ac:dyDescent="0.3">
      <c r="A12" s="1"/>
      <c r="B12" s="59" t="s">
        <v>100</v>
      </c>
      <c r="C12" s="9"/>
      <c r="D12" s="9" t="s">
        <v>3</v>
      </c>
      <c r="E12" s="1"/>
    </row>
    <row r="13" spans="1:5" x14ac:dyDescent="0.3">
      <c r="A13" s="1"/>
      <c r="B13" s="59" t="s">
        <v>101</v>
      </c>
      <c r="C13" s="9"/>
      <c r="D13" s="9" t="s">
        <v>3</v>
      </c>
      <c r="E13" s="1"/>
    </row>
    <row r="14" spans="1:5" x14ac:dyDescent="0.3">
      <c r="A14" s="1"/>
      <c r="B14" s="59" t="s">
        <v>102</v>
      </c>
      <c r="C14" s="9"/>
      <c r="D14" s="9" t="s">
        <v>3</v>
      </c>
      <c r="E14" s="1"/>
    </row>
    <row r="15" spans="1:5" x14ac:dyDescent="0.3">
      <c r="A15" s="1"/>
      <c r="B15" s="59" t="s">
        <v>103</v>
      </c>
      <c r="C15" s="9"/>
      <c r="D15" s="9" t="s">
        <v>3</v>
      </c>
      <c r="E15" s="1"/>
    </row>
    <row r="16" spans="1:5" x14ac:dyDescent="0.3">
      <c r="A16" s="1"/>
      <c r="B16" s="59" t="s">
        <v>104</v>
      </c>
      <c r="C16" s="9"/>
      <c r="D16" s="9" t="s">
        <v>3</v>
      </c>
      <c r="E16" s="1"/>
    </row>
    <row r="17" spans="1:5" x14ac:dyDescent="0.3">
      <c r="A17" s="1"/>
      <c r="B17" s="59" t="s">
        <v>105</v>
      </c>
      <c r="C17" s="9"/>
      <c r="D17" s="9" t="s">
        <v>3</v>
      </c>
      <c r="E17" s="1"/>
    </row>
    <row r="18" spans="1:5" x14ac:dyDescent="0.3">
      <c r="A18" s="1"/>
      <c r="B18" s="68" t="s">
        <v>106</v>
      </c>
      <c r="C18" s="12">
        <f>SUM(C10:C17)</f>
        <v>0</v>
      </c>
      <c r="D18" s="13" t="s">
        <v>3</v>
      </c>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9dwd0S0SW7n7afIQUVcaP9ifDfSFJFYxIa/SxsImvA53m1EhTK8vZaMS2RIR1amft544K8IXQVuT8vJA/PnHGQ==" saltValue="UXp2gOmRZOut7y8mfwPkUQ=="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94" t="s">
        <v>90</v>
      </c>
      <c r="C3" s="94"/>
      <c r="D3" s="94"/>
      <c r="E3" s="94"/>
      <c r="F3" s="94"/>
      <c r="G3" s="94"/>
      <c r="H3" s="94"/>
      <c r="I3" s="94"/>
      <c r="J3" s="94"/>
      <c r="K3" s="94"/>
      <c r="L3" s="1"/>
    </row>
    <row r="4" spans="1:12" ht="15" customHeight="1" x14ac:dyDescent="0.3">
      <c r="A4" s="1"/>
      <c r="B4" s="94"/>
      <c r="C4" s="94"/>
      <c r="D4" s="94"/>
      <c r="E4" s="94"/>
      <c r="F4" s="94"/>
      <c r="G4" s="94"/>
      <c r="H4" s="94"/>
      <c r="I4" s="94"/>
      <c r="J4" s="94"/>
      <c r="K4" s="94"/>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98" t="s">
        <v>74</v>
      </c>
      <c r="C8" s="99"/>
      <c r="D8" s="99"/>
      <c r="E8" s="99"/>
      <c r="F8" s="99"/>
      <c r="G8" s="99"/>
      <c r="H8" s="99"/>
      <c r="I8" s="99"/>
      <c r="J8" s="99"/>
      <c r="K8" s="100"/>
      <c r="L8" s="1"/>
    </row>
    <row r="9" spans="1:12" ht="39.75" customHeight="1" x14ac:dyDescent="0.3">
      <c r="A9" s="1"/>
      <c r="B9" s="18" t="s">
        <v>0</v>
      </c>
      <c r="C9" s="18" t="s">
        <v>1</v>
      </c>
      <c r="D9" s="116" t="s">
        <v>83</v>
      </c>
      <c r="E9" s="117"/>
      <c r="F9" s="116" t="s">
        <v>2</v>
      </c>
      <c r="G9" s="117"/>
      <c r="H9" s="116" t="s">
        <v>84</v>
      </c>
      <c r="I9" s="117"/>
      <c r="J9" s="116" t="s">
        <v>25</v>
      </c>
      <c r="K9" s="117"/>
      <c r="L9" s="1"/>
    </row>
    <row r="10" spans="1:12" x14ac:dyDescent="0.3">
      <c r="A10" s="1"/>
      <c r="B10" s="59" t="s">
        <v>192</v>
      </c>
      <c r="C10" s="48">
        <v>0</v>
      </c>
      <c r="D10" s="9">
        <v>0</v>
      </c>
      <c r="E10" s="14" t="s">
        <v>3</v>
      </c>
      <c r="F10" s="61">
        <f>IFERROR(D10/C10,0)</f>
        <v>0</v>
      </c>
      <c r="G10" s="14" t="s">
        <v>3</v>
      </c>
      <c r="H10" s="9">
        <v>0</v>
      </c>
      <c r="I10" s="14" t="s">
        <v>3</v>
      </c>
      <c r="J10" s="9">
        <v>0</v>
      </c>
      <c r="K10" s="14" t="s">
        <v>3</v>
      </c>
      <c r="L10" s="1"/>
    </row>
    <row r="11" spans="1:12" x14ac:dyDescent="0.3">
      <c r="A11" s="1"/>
      <c r="B11" s="52" t="s">
        <v>146</v>
      </c>
      <c r="C11" s="53"/>
      <c r="D11" s="19"/>
      <c r="E11" s="70"/>
      <c r="F11" s="12">
        <f>SUM(F10:F10)</f>
        <v>0</v>
      </c>
      <c r="G11" s="13" t="s">
        <v>3</v>
      </c>
      <c r="H11" s="12">
        <f>SUM(H10:H10)</f>
        <v>0</v>
      </c>
      <c r="I11" s="13" t="s">
        <v>3</v>
      </c>
      <c r="J11" s="12">
        <f>SUM(J10:J10)</f>
        <v>0</v>
      </c>
      <c r="K11" s="13"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hidden="1" x14ac:dyDescent="0.3">
      <c r="A43" s="40"/>
      <c r="B43" s="40"/>
      <c r="C43" s="40"/>
      <c r="D43" s="40"/>
      <c r="E43" s="40"/>
      <c r="F43" s="40"/>
      <c r="G43" s="40"/>
      <c r="H43" s="40"/>
      <c r="I43" s="40"/>
      <c r="J43" s="40"/>
      <c r="K43" s="40"/>
      <c r="L43" s="40"/>
    </row>
    <row r="44" spans="1:12" hidden="1" x14ac:dyDescent="0.3">
      <c r="A44" s="40"/>
      <c r="B44" s="40"/>
      <c r="C44" s="40"/>
      <c r="D44" s="40"/>
      <c r="E44" s="40"/>
      <c r="F44" s="40"/>
      <c r="G44" s="40"/>
      <c r="H44" s="40"/>
      <c r="I44" s="40"/>
      <c r="J44" s="40"/>
      <c r="K44" s="40"/>
      <c r="L44" s="40"/>
    </row>
    <row r="45" spans="1:12" hidden="1" x14ac:dyDescent="0.3">
      <c r="A45" s="40"/>
      <c r="B45" s="40"/>
      <c r="C45" s="40"/>
      <c r="D45" s="40"/>
      <c r="E45" s="40"/>
      <c r="F45" s="40"/>
      <c r="G45" s="40"/>
      <c r="H45" s="40"/>
      <c r="I45" s="40"/>
      <c r="J45" s="40"/>
      <c r="K45" s="40"/>
      <c r="L45" s="40"/>
    </row>
    <row r="46" spans="1:12" hidden="1" x14ac:dyDescent="0.3">
      <c r="A46" s="40"/>
      <c r="B46" s="40"/>
      <c r="C46" s="40"/>
      <c r="D46" s="40"/>
      <c r="E46" s="40"/>
      <c r="F46" s="40"/>
      <c r="G46" s="40"/>
      <c r="H46" s="40"/>
      <c r="I46" s="40"/>
      <c r="J46" s="40"/>
      <c r="K46" s="40"/>
      <c r="L46" s="40"/>
    </row>
    <row r="47" spans="1:12" hidden="1" x14ac:dyDescent="0.3"/>
    <row r="48" spans="1:12" hidden="1" x14ac:dyDescent="0.3"/>
    <row r="49" hidden="1" x14ac:dyDescent="0.3"/>
    <row r="50" hidden="1" x14ac:dyDescent="0.3"/>
    <row r="51" hidden="1" x14ac:dyDescent="0.3"/>
    <row r="52" hidden="1" x14ac:dyDescent="0.3"/>
  </sheetData>
  <sheetProtection algorithmName="SHA-512" hashValue="dmJQk4XZ2Du3mrLqVaNu+SFedcgUawzrXd7Lx1R4BV6x71cq0G62q4bjsgk6jrjWgyrWiBHk9XwrNAkKCovy4A==" saltValue="z1CZQXQtwAbahwxi2cD38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109375" style="2" customWidth="1"/>
    <col min="5" max="5" width="13.554687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91</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52" t="s">
        <v>34</v>
      </c>
      <c r="C8" s="53"/>
      <c r="D8" s="53"/>
      <c r="E8" s="53"/>
      <c r="F8" s="19"/>
      <c r="G8" s="1"/>
    </row>
    <row r="9" spans="1:7" ht="17.25" customHeight="1" x14ac:dyDescent="0.3">
      <c r="A9" s="1"/>
      <c r="B9" s="71" t="s">
        <v>15</v>
      </c>
      <c r="C9" s="73" t="s">
        <v>10</v>
      </c>
      <c r="D9" s="72"/>
      <c r="E9" s="73" t="s">
        <v>26</v>
      </c>
      <c r="F9" s="27"/>
      <c r="G9" s="1"/>
    </row>
    <row r="10" spans="1:7" x14ac:dyDescent="0.3">
      <c r="A10" s="1"/>
      <c r="B10" s="23" t="s">
        <v>77</v>
      </c>
      <c r="C10" s="21">
        <f>'Fane 9. Anlægsprojekter (§ 19) '!H11</f>
        <v>0</v>
      </c>
      <c r="D10" s="14" t="s">
        <v>3</v>
      </c>
      <c r="E10" s="9">
        <f>'Fane 9. Anlægsprojekter (§ 19) '!F11+'Fane 9. Anlægsprojekter (§ 19) '!J11</f>
        <v>0</v>
      </c>
      <c r="F10" s="14" t="s">
        <v>3</v>
      </c>
      <c r="G10" s="1"/>
    </row>
    <row r="11" spans="1:7" x14ac:dyDescent="0.3">
      <c r="A11" s="1"/>
      <c r="B11" s="26" t="s">
        <v>205</v>
      </c>
      <c r="C11" s="21">
        <v>902426.82</v>
      </c>
      <c r="D11" s="14" t="s">
        <v>3</v>
      </c>
      <c r="E11" s="9">
        <v>3586580.54</v>
      </c>
      <c r="F11" s="14" t="s">
        <v>3</v>
      </c>
      <c r="G11" s="1"/>
    </row>
    <row r="12" spans="1:7" x14ac:dyDescent="0.3">
      <c r="A12" s="1"/>
      <c r="B12" s="26" t="s">
        <v>206</v>
      </c>
      <c r="C12" s="21">
        <v>16582.82</v>
      </c>
      <c r="D12" s="14" t="s">
        <v>3</v>
      </c>
      <c r="E12" s="9">
        <v>273836.19</v>
      </c>
      <c r="F12" s="14" t="s">
        <v>3</v>
      </c>
      <c r="G12" s="1"/>
    </row>
    <row r="13" spans="1:7" x14ac:dyDescent="0.3">
      <c r="A13" s="1"/>
      <c r="B13" s="26" t="s">
        <v>207</v>
      </c>
      <c r="C13" s="21">
        <v>65217.02</v>
      </c>
      <c r="D13" s="14" t="s">
        <v>3</v>
      </c>
      <c r="E13" s="9">
        <v>18571.59</v>
      </c>
      <c r="F13" s="14" t="s">
        <v>3</v>
      </c>
      <c r="G13" s="1"/>
    </row>
    <row r="14" spans="1:7" x14ac:dyDescent="0.3">
      <c r="A14" s="1"/>
      <c r="B14" s="26"/>
      <c r="C14" s="21"/>
      <c r="D14" s="14" t="s">
        <v>3</v>
      </c>
      <c r="E14" s="9"/>
      <c r="F14" s="14" t="s">
        <v>3</v>
      </c>
      <c r="G14" s="1"/>
    </row>
    <row r="15" spans="1:7" x14ac:dyDescent="0.3">
      <c r="A15" s="1"/>
      <c r="B15" s="26"/>
      <c r="C15" s="21"/>
      <c r="D15" s="14" t="s">
        <v>3</v>
      </c>
      <c r="E15" s="9"/>
      <c r="F15" s="14" t="s">
        <v>3</v>
      </c>
      <c r="G15" s="1"/>
    </row>
    <row r="16" spans="1:7" x14ac:dyDescent="0.3">
      <c r="A16" s="1"/>
      <c r="B16" s="26"/>
      <c r="C16" s="21"/>
      <c r="D16" s="14" t="s">
        <v>3</v>
      </c>
      <c r="E16" s="9"/>
      <c r="F16" s="14" t="s">
        <v>3</v>
      </c>
      <c r="G16" s="1"/>
    </row>
    <row r="17" spans="1:7" x14ac:dyDescent="0.3">
      <c r="A17" s="1"/>
      <c r="B17" s="52" t="s">
        <v>112</v>
      </c>
      <c r="C17" s="12">
        <f>SUM(C10:C16)</f>
        <v>984226.65999999992</v>
      </c>
      <c r="D17" s="13" t="s">
        <v>3</v>
      </c>
      <c r="E17" s="12">
        <f>SUM(E10:E16)</f>
        <v>3878988.32</v>
      </c>
      <c r="F17" s="13" t="s">
        <v>3</v>
      </c>
      <c r="G17" s="1"/>
    </row>
    <row r="18" spans="1:7" x14ac:dyDescent="0.3">
      <c r="A18" s="1"/>
      <c r="B18" s="52" t="s">
        <v>147</v>
      </c>
      <c r="C18" s="12">
        <f>C17*(1+'Fane 13. Nøgletal'!C11)</f>
        <v>1049480.8875579999</v>
      </c>
      <c r="D18" s="13" t="s">
        <v>3</v>
      </c>
      <c r="E18" s="12">
        <f>E17*(1+'Fane 13. Nøgletal'!C11)</f>
        <v>4136165.2456160001</v>
      </c>
      <c r="F18" s="13" t="s">
        <v>3</v>
      </c>
      <c r="G18" s="1"/>
    </row>
    <row r="19" spans="1:7" x14ac:dyDescent="0.3">
      <c r="A19" s="1"/>
      <c r="B19" s="1"/>
      <c r="C19" s="1" t="s">
        <v>82</v>
      </c>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row r="52" spans="1:7" hidden="1" x14ac:dyDescent="0.3">
      <c r="A52" s="40"/>
      <c r="B52" s="40"/>
      <c r="C52" s="40"/>
      <c r="D52" s="40"/>
      <c r="E52" s="40"/>
      <c r="F52" s="40"/>
      <c r="G52" s="40"/>
    </row>
    <row r="53" spans="1:7" hidden="1" x14ac:dyDescent="0.3">
      <c r="A53" s="40"/>
      <c r="B53" s="40"/>
      <c r="C53" s="40"/>
      <c r="D53" s="40"/>
      <c r="E53" s="40"/>
      <c r="F53" s="40"/>
      <c r="G53" s="40"/>
    </row>
    <row r="54" spans="1:7" hidden="1" x14ac:dyDescent="0.3">
      <c r="A54" s="40"/>
      <c r="B54" s="40"/>
      <c r="C54" s="40"/>
      <c r="D54" s="40"/>
      <c r="E54" s="40"/>
      <c r="F54" s="40"/>
      <c r="G54" s="40"/>
    </row>
    <row r="55" spans="1:7" hidden="1" x14ac:dyDescent="0.3">
      <c r="A55" s="40"/>
      <c r="B55" s="40"/>
      <c r="C55" s="40"/>
      <c r="D55" s="40"/>
      <c r="E55" s="40"/>
      <c r="F55" s="40"/>
      <c r="G55" s="40"/>
    </row>
    <row r="56" spans="1:7" hidden="1" x14ac:dyDescent="0.3">
      <c r="A56" s="40"/>
      <c r="B56" s="40"/>
      <c r="C56" s="40"/>
      <c r="D56" s="40"/>
      <c r="E56" s="40"/>
      <c r="F56" s="40"/>
      <c r="G56" s="40"/>
    </row>
    <row r="57" spans="1:7" hidden="1" x14ac:dyDescent="0.3">
      <c r="A57" s="40"/>
      <c r="B57" s="40"/>
      <c r="C57" s="40"/>
      <c r="D57" s="40"/>
      <c r="E57" s="40"/>
      <c r="F57" s="40"/>
      <c r="G57" s="40"/>
    </row>
  </sheetData>
  <sheetProtection algorithmName="SHA-512" hashValue="8kuLhc507nSXsbjLErdOeIAdD2PSH7nn3nx9XtwdWzeRFIgE+t1Fp4zdyTCjx3T0ZjAtB8/KI5knz0n/xRgvUw==" saltValue="/0nAgKjlLAVANPzoJfPGo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92</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98" t="s">
        <v>150</v>
      </c>
      <c r="C8" s="99"/>
      <c r="D8" s="99"/>
      <c r="E8" s="99"/>
      <c r="F8" s="100"/>
      <c r="G8" s="1"/>
    </row>
    <row r="9" spans="1:7" x14ac:dyDescent="0.3">
      <c r="A9" s="1"/>
      <c r="B9" s="71" t="s">
        <v>15</v>
      </c>
      <c r="C9" s="73" t="s">
        <v>10</v>
      </c>
      <c r="D9" s="74"/>
      <c r="E9" s="73" t="s">
        <v>26</v>
      </c>
      <c r="F9" s="27"/>
      <c r="G9" s="1"/>
    </row>
    <row r="10" spans="1:7" x14ac:dyDescent="0.3">
      <c r="A10" s="1"/>
      <c r="B10" s="23" t="s">
        <v>208</v>
      </c>
      <c r="C10" s="21"/>
      <c r="D10" s="14" t="s">
        <v>3</v>
      </c>
      <c r="E10" s="9"/>
      <c r="F10" s="14" t="s">
        <v>3</v>
      </c>
      <c r="G10" s="1"/>
    </row>
    <row r="11" spans="1:7" x14ac:dyDescent="0.3">
      <c r="A11" s="1"/>
      <c r="B11" s="23"/>
      <c r="C11" s="21"/>
      <c r="D11" s="14" t="s">
        <v>3</v>
      </c>
      <c r="E11" s="9"/>
      <c r="F11" s="14" t="s">
        <v>3</v>
      </c>
      <c r="G11" s="1"/>
    </row>
    <row r="12" spans="1:7" x14ac:dyDescent="0.3">
      <c r="A12" s="1"/>
      <c r="B12" s="23"/>
      <c r="C12" s="21"/>
      <c r="D12" s="14" t="s">
        <v>3</v>
      </c>
      <c r="E12" s="9"/>
      <c r="F12" s="14" t="s">
        <v>3</v>
      </c>
      <c r="G12" s="1"/>
    </row>
    <row r="13" spans="1:7" x14ac:dyDescent="0.3">
      <c r="A13" s="1"/>
      <c r="B13" s="52" t="s">
        <v>148</v>
      </c>
      <c r="C13" s="12">
        <f>SUM(C10:C12)</f>
        <v>0</v>
      </c>
      <c r="D13" s="13" t="s">
        <v>3</v>
      </c>
      <c r="E13" s="12">
        <f>SUM(E10:E12)</f>
        <v>0</v>
      </c>
      <c r="F13" s="13" t="s">
        <v>3</v>
      </c>
      <c r="G13" s="1"/>
    </row>
    <row r="14" spans="1:7" x14ac:dyDescent="0.3">
      <c r="A14" s="1"/>
      <c r="B14" s="52" t="s">
        <v>149</v>
      </c>
      <c r="C14" s="12">
        <f>C13*(1+'Fane 13. Nøgletal'!$C$11)^2</f>
        <v>0</v>
      </c>
      <c r="D14" s="13" t="s">
        <v>3</v>
      </c>
      <c r="E14" s="12">
        <f>E13*(1+'Fane 13. Nøgletal'!$C$11)^2</f>
        <v>0</v>
      </c>
      <c r="F14" s="13" t="s">
        <v>3</v>
      </c>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ht="18" customHeight="1"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Dp15/jH03+Dd9+2zejjgdX4wVIw35w4RbzKBs9KAcUOAx+4YcO4e8mtdNJIgfNlPQ06IejXexABoJaUiGB+pOQ==" saltValue="3HFaF8tMbvqYobggHK9cvQ=="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93</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x14ac:dyDescent="0.3">
      <c r="A8" s="1"/>
      <c r="B8" s="98" t="s">
        <v>59</v>
      </c>
      <c r="C8" s="99"/>
      <c r="D8" s="99"/>
      <c r="E8" s="99"/>
      <c r="F8" s="100"/>
      <c r="G8" s="1"/>
    </row>
    <row r="9" spans="1:7" ht="15" customHeight="1" x14ac:dyDescent="0.3">
      <c r="A9" s="1"/>
      <c r="B9" s="54" t="s">
        <v>60</v>
      </c>
      <c r="C9" s="118" t="s">
        <v>10</v>
      </c>
      <c r="D9" s="119"/>
      <c r="E9" s="118" t="s">
        <v>26</v>
      </c>
      <c r="F9" s="119"/>
      <c r="G9" s="1"/>
    </row>
    <row r="10" spans="1:7" ht="27" x14ac:dyDescent="0.3">
      <c r="A10" s="1"/>
      <c r="B10" s="60" t="s">
        <v>190</v>
      </c>
      <c r="C10" s="9">
        <v>0</v>
      </c>
      <c r="D10" s="14" t="s">
        <v>3</v>
      </c>
      <c r="E10" s="9">
        <v>0</v>
      </c>
      <c r="F10" s="14" t="s">
        <v>3</v>
      </c>
      <c r="G10" s="1"/>
    </row>
    <row r="11" spans="1:7" ht="28.5" customHeight="1" x14ac:dyDescent="0.3">
      <c r="A11" s="1"/>
      <c r="B11" s="20" t="s">
        <v>115</v>
      </c>
      <c r="C11" s="12">
        <f>SUM(C10:C10)</f>
        <v>0</v>
      </c>
      <c r="D11" s="13" t="s">
        <v>3</v>
      </c>
      <c r="E11" s="12">
        <f>SUM(E10:E10)</f>
        <v>0</v>
      </c>
      <c r="F11" s="13" t="s">
        <v>3</v>
      </c>
      <c r="G11" s="1"/>
    </row>
    <row r="12" spans="1:7" ht="27" customHeight="1" x14ac:dyDescent="0.3">
      <c r="A12" s="1"/>
      <c r="B12" s="20" t="s">
        <v>151</v>
      </c>
      <c r="C12" s="12">
        <f>C11*(1+'Fane 13. Nøgletal'!C11)</f>
        <v>0</v>
      </c>
      <c r="D12" s="13" t="s">
        <v>3</v>
      </c>
      <c r="E12" s="12">
        <f>E11*(1+'Fane 13. Nøgletal'!C11)</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sheetData>
  <sheetProtection algorithmName="SHA-512" hashValue="qgTZdxraSxP3zDSDp7yMfZ97AhgTARkpcevWFjay7IQ1SgeMM+tAPbNCauHxLFZaEmi7D8QziW029jfTnhIhog==" saltValue="mNFx2bnHfzhkMDohekEnU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109375" style="2" customWidth="1"/>
    <col min="5" max="5" width="13.664062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94</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ht="15" customHeight="1" x14ac:dyDescent="0.3">
      <c r="A7" s="1"/>
      <c r="B7" s="1"/>
      <c r="C7" s="1"/>
      <c r="D7" s="1"/>
      <c r="E7" s="1"/>
      <c r="F7" s="1"/>
      <c r="G7" s="1"/>
    </row>
    <row r="8" spans="1:7" x14ac:dyDescent="0.3">
      <c r="A8" s="1"/>
      <c r="B8" s="98" t="s">
        <v>152</v>
      </c>
      <c r="C8" s="99"/>
      <c r="D8" s="99"/>
      <c r="E8" s="99"/>
      <c r="F8" s="100"/>
      <c r="G8" s="1"/>
    </row>
    <row r="9" spans="1:7" x14ac:dyDescent="0.3">
      <c r="A9" s="1"/>
      <c r="B9" s="54" t="s">
        <v>16</v>
      </c>
      <c r="C9" s="51" t="s">
        <v>10</v>
      </c>
      <c r="D9" s="27"/>
      <c r="E9" s="51" t="s">
        <v>26</v>
      </c>
      <c r="F9" s="27"/>
      <c r="G9" s="1"/>
    </row>
    <row r="10" spans="1:7" x14ac:dyDescent="0.3">
      <c r="A10" s="1"/>
      <c r="B10" s="60" t="s">
        <v>191</v>
      </c>
      <c r="C10" s="9">
        <v>0</v>
      </c>
      <c r="D10" s="14" t="s">
        <v>3</v>
      </c>
      <c r="E10" s="9">
        <v>0</v>
      </c>
      <c r="F10" s="14" t="s">
        <v>3</v>
      </c>
      <c r="G10" s="1"/>
    </row>
    <row r="11" spans="1:7" x14ac:dyDescent="0.3">
      <c r="A11" s="1"/>
      <c r="B11" s="52" t="s">
        <v>122</v>
      </c>
      <c r="C11" s="12">
        <f>SUM(C10:C10)</f>
        <v>0</v>
      </c>
      <c r="D11" s="13" t="s">
        <v>3</v>
      </c>
      <c r="E11" s="12">
        <f>SUM(E10:E10)</f>
        <v>0</v>
      </c>
      <c r="F11" s="13" t="s">
        <v>3</v>
      </c>
      <c r="G11" s="1"/>
    </row>
    <row r="12" spans="1:7" x14ac:dyDescent="0.3">
      <c r="A12" s="1"/>
      <c r="B12" s="52" t="s">
        <v>189</v>
      </c>
      <c r="C12" s="12">
        <f>C11*(1+'Fane 13. Nøgletal'!C11)^2</f>
        <v>0</v>
      </c>
      <c r="D12" s="13" t="s">
        <v>3</v>
      </c>
      <c r="E12" s="12">
        <f>E11*(1+'Fane 13. Nøgletal'!C11)^2</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p+25VK0X8jhK+lB4TuynajksHO41SREArE6E6DHVykVYzf4EWk5gqWaJl7VX54AvIpIoswOzHTos1NuS7Ie+Zw==" saltValue="lIllT3ijqPpTfcldu1BJcA=="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5546875" style="38" customWidth="1"/>
    <col min="4" max="4" width="5.33203125" style="2" customWidth="1"/>
    <col min="5" max="16384" width="9.109375" style="2" hidden="1"/>
  </cols>
  <sheetData>
    <row r="1" spans="1:4" x14ac:dyDescent="0.3">
      <c r="A1" s="1"/>
      <c r="B1" s="1"/>
      <c r="C1" s="34"/>
      <c r="D1" s="1"/>
    </row>
    <row r="2" spans="1:4" x14ac:dyDescent="0.3">
      <c r="A2" s="1"/>
      <c r="B2" s="1"/>
      <c r="C2" s="34"/>
      <c r="D2" s="1"/>
    </row>
    <row r="3" spans="1:4" ht="15" customHeight="1" x14ac:dyDescent="0.3">
      <c r="A3" s="1"/>
      <c r="B3" s="96" t="s">
        <v>95</v>
      </c>
      <c r="C3" s="96"/>
      <c r="D3" s="1"/>
    </row>
    <row r="4" spans="1:4" ht="15" customHeight="1" x14ac:dyDescent="0.3">
      <c r="A4" s="1"/>
      <c r="B4" s="96"/>
      <c r="C4" s="96"/>
      <c r="D4" s="1"/>
    </row>
    <row r="5" spans="1:4" x14ac:dyDescent="0.3">
      <c r="A5" s="1"/>
      <c r="B5" s="1"/>
      <c r="C5" s="34"/>
      <c r="D5" s="1"/>
    </row>
    <row r="6" spans="1:4" x14ac:dyDescent="0.3">
      <c r="A6" s="1"/>
      <c r="B6" s="1"/>
      <c r="C6" s="34"/>
      <c r="D6" s="1"/>
    </row>
    <row r="7" spans="1:4" x14ac:dyDescent="0.3">
      <c r="A7" s="1"/>
      <c r="B7" s="1"/>
      <c r="C7" s="34"/>
      <c r="D7" s="1"/>
    </row>
    <row r="8" spans="1:4" x14ac:dyDescent="0.3">
      <c r="A8" s="1"/>
      <c r="B8" s="52" t="s">
        <v>13</v>
      </c>
      <c r="C8" s="35"/>
      <c r="D8" s="1"/>
    </row>
    <row r="9" spans="1:4" x14ac:dyDescent="0.3">
      <c r="A9" s="1"/>
      <c r="B9" s="43" t="s">
        <v>187</v>
      </c>
      <c r="C9" s="49">
        <v>3.56E-2</v>
      </c>
      <c r="D9" s="1"/>
    </row>
    <row r="10" spans="1:4" x14ac:dyDescent="0.3">
      <c r="A10" s="1"/>
      <c r="B10" s="43" t="s">
        <v>186</v>
      </c>
      <c r="C10" s="49">
        <v>8.0799999999999997E-2</v>
      </c>
      <c r="D10" s="1"/>
    </row>
    <row r="11" spans="1:4" x14ac:dyDescent="0.3">
      <c r="A11" s="1"/>
      <c r="B11" s="43" t="s">
        <v>196</v>
      </c>
      <c r="C11" s="49">
        <v>6.6299999999999998E-2</v>
      </c>
      <c r="D11" s="1"/>
    </row>
    <row r="12" spans="1:4" x14ac:dyDescent="0.3">
      <c r="A12" s="1"/>
      <c r="B12" s="98"/>
      <c r="C12" s="100"/>
      <c r="D12" s="1"/>
    </row>
    <row r="13" spans="1:4" x14ac:dyDescent="0.3">
      <c r="A13" s="1"/>
      <c r="B13" s="1"/>
      <c r="C13" s="34"/>
      <c r="D13" s="1"/>
    </row>
    <row r="14" spans="1:4" x14ac:dyDescent="0.3">
      <c r="A14" s="1"/>
      <c r="B14" s="1"/>
      <c r="C14" s="34"/>
      <c r="D14" s="1"/>
    </row>
    <row r="15" spans="1:4" x14ac:dyDescent="0.3">
      <c r="A15" s="1"/>
      <c r="B15" s="52" t="s">
        <v>44</v>
      </c>
      <c r="C15" s="35"/>
      <c r="D15" s="1"/>
    </row>
    <row r="16" spans="1:4" x14ac:dyDescent="0.3">
      <c r="A16" s="1"/>
      <c r="B16" s="43" t="s">
        <v>188</v>
      </c>
      <c r="C16" s="37">
        <v>0</v>
      </c>
      <c r="D16" s="1"/>
    </row>
    <row r="17" spans="1:4" x14ac:dyDescent="0.3">
      <c r="A17" s="1"/>
      <c r="B17" s="43" t="s">
        <v>111</v>
      </c>
      <c r="C17" s="37">
        <v>0</v>
      </c>
      <c r="D17" s="1"/>
    </row>
    <row r="18" spans="1:4" x14ac:dyDescent="0.3">
      <c r="A18" s="1"/>
      <c r="B18" s="43" t="s">
        <v>197</v>
      </c>
      <c r="C18" s="63">
        <v>0</v>
      </c>
      <c r="D18" s="1"/>
    </row>
    <row r="19" spans="1:4" x14ac:dyDescent="0.3">
      <c r="A19" s="1"/>
      <c r="B19" s="52"/>
      <c r="C19" s="35"/>
      <c r="D19" s="1"/>
    </row>
    <row r="20" spans="1:4" x14ac:dyDescent="0.3">
      <c r="A20" s="1"/>
      <c r="B20" s="1"/>
      <c r="C20" s="34"/>
      <c r="D20" s="1"/>
    </row>
    <row r="21" spans="1:4" x14ac:dyDescent="0.3">
      <c r="A21" s="1"/>
      <c r="B21" s="1"/>
      <c r="C21" s="34"/>
      <c r="D21" s="1"/>
    </row>
    <row r="22" spans="1:4" x14ac:dyDescent="0.3">
      <c r="A22" s="1"/>
      <c r="B22" s="52" t="s">
        <v>45</v>
      </c>
      <c r="C22" s="35"/>
      <c r="D22" s="1"/>
    </row>
    <row r="23" spans="1:4" x14ac:dyDescent="0.3">
      <c r="A23" s="1"/>
      <c r="B23" s="28" t="s">
        <v>56</v>
      </c>
      <c r="C23" s="36">
        <v>0.02</v>
      </c>
      <c r="D23" s="1"/>
    </row>
    <row r="24" spans="1:4" x14ac:dyDescent="0.3">
      <c r="A24" s="1"/>
      <c r="B24" s="52"/>
      <c r="C24" s="35"/>
      <c r="D24" s="1"/>
    </row>
    <row r="25" spans="1:4" x14ac:dyDescent="0.3">
      <c r="A25" s="1"/>
      <c r="B25" s="1"/>
      <c r="C25" s="34"/>
      <c r="D25" s="1"/>
    </row>
    <row r="26" spans="1:4" x14ac:dyDescent="0.3">
      <c r="A26" s="1"/>
      <c r="B26" s="1"/>
      <c r="C26" s="34"/>
      <c r="D26" s="1"/>
    </row>
    <row r="27" spans="1:4" x14ac:dyDescent="0.3">
      <c r="A27" s="1"/>
      <c r="B27" s="1"/>
      <c r="C27" s="34"/>
      <c r="D27" s="1"/>
    </row>
    <row r="28" spans="1:4" x14ac:dyDescent="0.3">
      <c r="A28" s="1"/>
      <c r="B28" s="1"/>
      <c r="C28" s="34"/>
      <c r="D28" s="1"/>
    </row>
    <row r="29" spans="1:4" x14ac:dyDescent="0.3">
      <c r="A29" s="1"/>
      <c r="B29" s="1"/>
      <c r="C29" s="34"/>
      <c r="D29" s="1"/>
    </row>
    <row r="30" spans="1:4" x14ac:dyDescent="0.3">
      <c r="A30" s="1"/>
      <c r="B30" s="1"/>
      <c r="C30" s="34"/>
      <c r="D30" s="1"/>
    </row>
    <row r="31" spans="1:4" x14ac:dyDescent="0.3">
      <c r="A31" s="1"/>
      <c r="B31" s="1"/>
      <c r="C31" s="34"/>
      <c r="D31" s="1"/>
    </row>
    <row r="32" spans="1:4" x14ac:dyDescent="0.3">
      <c r="A32" s="1"/>
      <c r="B32" s="1"/>
      <c r="C32" s="34"/>
      <c r="D32" s="1"/>
    </row>
    <row r="33" spans="1:4" x14ac:dyDescent="0.3">
      <c r="A33" s="1"/>
      <c r="B33" s="1"/>
      <c r="C33" s="34"/>
      <c r="D33" s="1"/>
    </row>
    <row r="34" spans="1:4" x14ac:dyDescent="0.3">
      <c r="A34" s="1"/>
      <c r="B34" s="1"/>
      <c r="C34" s="34"/>
      <c r="D34" s="1"/>
    </row>
    <row r="35" spans="1:4" x14ac:dyDescent="0.3">
      <c r="A35" s="1"/>
      <c r="B35" s="1"/>
      <c r="C35" s="34"/>
      <c r="D35" s="1"/>
    </row>
    <row r="36" spans="1:4" x14ac:dyDescent="0.3">
      <c r="A36" s="1"/>
      <c r="B36" s="1"/>
      <c r="C36" s="34"/>
      <c r="D36" s="1"/>
    </row>
    <row r="37" spans="1:4" x14ac:dyDescent="0.3">
      <c r="A37" s="1"/>
      <c r="B37" s="1"/>
      <c r="C37" s="34"/>
      <c r="D37" s="1"/>
    </row>
    <row r="38" spans="1:4" x14ac:dyDescent="0.3">
      <c r="A38" s="1"/>
      <c r="B38" s="1"/>
      <c r="C38" s="34"/>
      <c r="D38" s="1"/>
    </row>
    <row r="39" spans="1:4" x14ac:dyDescent="0.3">
      <c r="A39" s="1"/>
      <c r="B39" s="1"/>
      <c r="C39" s="34"/>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xZpf0pjrptJgmkH/E4QScG472HQbC582XR6jVkae4RO4LNc622Pmix7kaIiYxnLIdzjOa2UubvRg1PMpomFhSg==" saltValue="UthKmilH18C1n2fDztnMAA=="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2024-09-03T18:57:00Z</dcterms:modified>
</cp:coreProperties>
</file>