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Stenlien Vandværk a.m.b.a. (V173)\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Korrektion af ØR2021" sheetId="17" r:id="rId9"/>
    <sheet name="Fane 7. Skattesagen" sheetId="15" r:id="rId10"/>
    <sheet name="Fane 8. Anlægsprojekter (§ 19)" sheetId="9" r:id="rId11"/>
    <sheet name="Fane 9.1. Varige tillæg" sheetId="10" r:id="rId12"/>
    <sheet name="Fane 9.2. Engangstillæg" sheetId="11" r:id="rId13"/>
    <sheet name="Fane 10. Periodevise driftsomk." sheetId="18" r:id="rId14"/>
    <sheet name="Fane 11. Tilknyttet virksomhed" sheetId="12" r:id="rId15"/>
    <sheet name="Fane 12. Bortfald" sheetId="13" r:id="rId16"/>
    <sheet name="Fane 13. Nøgletal" sheetId="14" r:id="rId17"/>
  </sheets>
  <externalReferences>
    <externalReference r:id="rId18"/>
  </externalReference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9" i="5" l="1"/>
  <c r="E19" i="4"/>
  <c r="E19" i="3"/>
  <c r="E17" i="3"/>
  <c r="E30" i="2"/>
  <c r="E26" i="2"/>
  <c r="E27" i="6"/>
  <c r="E14" i="6"/>
  <c r="E16" i="8" l="1"/>
  <c r="E15" i="8"/>
  <c r="G18" i="15" l="1"/>
  <c r="E28" i="2" l="1"/>
  <c r="E26" i="18"/>
  <c r="E27" i="18" s="1"/>
  <c r="E15" i="5" s="1"/>
  <c r="E21" i="18"/>
  <c r="E22" i="18" s="1"/>
  <c r="E15" i="4" s="1"/>
  <c r="E16" i="18"/>
  <c r="E17" i="18" s="1"/>
  <c r="E15" i="3" s="1"/>
  <c r="E11" i="18"/>
  <c r="E12" i="18" s="1"/>
  <c r="E19" i="2" s="1"/>
  <c r="E16" i="17"/>
  <c r="E12" i="17"/>
  <c r="E17" i="17" l="1"/>
  <c r="E24" i="8"/>
  <c r="E28" i="8" s="1"/>
  <c r="E30" i="8" s="1"/>
  <c r="C11" i="12" l="1"/>
  <c r="E11" i="12"/>
  <c r="E10" i="11"/>
  <c r="C10" i="11"/>
  <c r="H11" i="9"/>
  <c r="J11" i="9"/>
  <c r="C12" i="7"/>
  <c r="F10" i="9" l="1"/>
  <c r="F11" i="9" s="1"/>
  <c r="E12" i="12"/>
  <c r="C12" i="12"/>
  <c r="E12" i="2" l="1"/>
  <c r="E11" i="11"/>
  <c r="C11" i="11"/>
  <c r="C10" i="10" l="1"/>
  <c r="C13" i="7"/>
  <c r="C12" i="10" l="1"/>
  <c r="C13" i="10" s="1"/>
  <c r="E13" i="5"/>
  <c r="E13" i="4"/>
  <c r="E13" i="3"/>
  <c r="E22" i="6"/>
  <c r="E15" i="6" l="1"/>
  <c r="E16" i="6" s="1"/>
  <c r="E9" i="2" l="1"/>
  <c r="E28" i="6"/>
  <c r="E12" i="13"/>
  <c r="E13" i="13" s="1"/>
  <c r="C12" i="13"/>
  <c r="C13" i="13" s="1"/>
  <c r="E11" i="2" l="1"/>
  <c r="E21" i="2" l="1"/>
  <c r="E22" i="2"/>
  <c r="E23" i="2" l="1"/>
  <c r="E24" i="2" s="1"/>
  <c r="E17" i="2" l="1"/>
  <c r="E10" i="10" l="1"/>
  <c r="E12" i="10" l="1"/>
  <c r="E13" i="10" s="1"/>
  <c r="E10" i="2" s="1"/>
  <c r="E13" i="2" s="1"/>
  <c r="E14" i="2" l="1"/>
  <c r="E15" i="2" s="1"/>
  <c r="E31" i="2" s="1"/>
  <c r="E8" i="3" l="1"/>
  <c r="E9" i="3" l="1"/>
  <c r="E10" i="3" s="1"/>
  <c r="E11" i="3" s="1"/>
  <c r="E20" i="3" s="1"/>
  <c r="E8" i="4" l="1"/>
  <c r="E9" i="4" s="1"/>
  <c r="E10" i="4" l="1"/>
  <c r="E11" i="4" s="1"/>
  <c r="E20" i="4" s="1"/>
  <c r="E8" i="5" l="1"/>
  <c r="E9" i="5" s="1"/>
  <c r="E10" i="5" l="1"/>
  <c r="E11" i="5" s="1"/>
  <c r="E20" i="5" s="1"/>
</calcChain>
</file>

<file path=xl/sharedStrings.xml><?xml version="1.0" encoding="utf-8"?>
<sst xmlns="http://schemas.openxmlformats.org/spreadsheetml/2006/main" count="385" uniqueCount="177">
  <si>
    <t>Beskrivelse af investeringen</t>
  </si>
  <si>
    <t>Std. levetid (år)</t>
  </si>
  <si>
    <t>Afskrivning</t>
  </si>
  <si>
    <t>kr.</t>
  </si>
  <si>
    <t>Bilag A</t>
  </si>
  <si>
    <t>Indholdsfortegnelse</t>
  </si>
  <si>
    <t>Fane 2.1</t>
  </si>
  <si>
    <t>Fane 4</t>
  </si>
  <si>
    <t>Fane 5</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</si>
  <si>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</si>
  <si>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</si>
  <si>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</si>
  <si>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</si>
  <si>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</si>
  <si>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</si>
  <si>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</si>
  <si>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</si>
  <si>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</si>
  <si>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</si>
  <si>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</si>
  <si>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</si>
  <si>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</si>
  <si>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</si>
  <si>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</si>
  <si>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</si>
  <si>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</si>
  <si>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</si>
  <si>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</si>
  <si>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</si>
  <si>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</si>
  <si>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</si>
  <si>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</si>
  <si>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</si>
  <si>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</si>
  <si>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</si>
  <si>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</si>
  <si>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</si>
  <si>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</si>
  <si>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</si>
  <si>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</si>
  <si>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</si>
  <si>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</si>
  <si>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</si>
  <si>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</si>
  <si>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</si>
  <si>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</si>
  <si>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</si>
  <si>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</si>
  <si>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</si>
  <si>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</si>
  <si>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</si>
  <si>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</si>
  <si>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</si>
  <si>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</si>
  <si>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</si>
  <si>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</si>
  <si>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</si>
  <si>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</si>
  <si>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</si>
  <si>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</si>
  <si>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</si>
  <si>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</si>
  <si>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</si>
  <si>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</si>
  <si>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</si>
  <si>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</si>
  <si>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</si>
  <si>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</si>
  <si>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</si>
  <si>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</si>
  <si>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</si>
  <si>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</si>
  <si>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</si>
  <si>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</si>
  <si>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</si>
  <si>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</si>
  <si>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</si>
  <si>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</si>
  <si>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</si>
  <si>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</si>
  <si>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</si>
  <si>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</si>
  <si>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</si>
  <si>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</si>
  <si>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</si>
  <si>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</si>
  <si>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</si>
  <si>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</si>
  <si>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</si>
  <si>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</si>
  <si>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</si>
  <si>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</si>
  <si>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</si>
  <si>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</si>
  <si>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</si>
  <si>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</si>
  <si>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</si>
  <si>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</si>
  <si>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</si>
  <si>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</si>
  <si>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</si>
  <si>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</si>
  <si>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</si>
  <si>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</si>
  <si>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</si>
  <si>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</si>
  <si>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</si>
  <si>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</si>
  <si>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</si>
  <si>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</si>
  <si>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</si>
  <si>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</si>
  <si>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</si>
  <si>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11</t>
  </si>
  <si>
    <t>Tilbagebetaling af indtægter som følge af skattesagen (jf. § 18 stk. 6)</t>
  </si>
  <si>
    <t>Fradrag i de økonomiske ramme i årene</t>
  </si>
  <si>
    <t>Samlet tilbagebetaling</t>
  </si>
  <si>
    <t>Afgift til Forsyningssekretariatet</t>
  </si>
  <si>
    <t>Ejendomsskat</t>
  </si>
  <si>
    <t>Korrigeret over/underdækning i 2020</t>
  </si>
  <si>
    <t>Indregnet fradrag i økonomisk ramme for 2024</t>
  </si>
  <si>
    <t>Faktiske indtægter i 2021</t>
  </si>
  <si>
    <t>Til indregning i de økonomiske rammer for 2023-2024</t>
  </si>
  <si>
    <t>Ingen anlægsprojekter</t>
  </si>
  <si>
    <t>Anlægsprojekter igangsat senest 1. marts 2016</t>
  </si>
  <si>
    <t>Ingen engangstillæg</t>
  </si>
  <si>
    <t>Ingen tilknyttet virksomhed under hovedvirksomheden</t>
  </si>
  <si>
    <t>Ingen bortfald eller nedsættelse</t>
  </si>
  <si>
    <t>Fane 6: Korrektioner af den økonomiske ramme for 2021</t>
  </si>
  <si>
    <t>Korrektion af periodevise driftsomkostninger i de økonomiske rammer for 2021</t>
  </si>
  <si>
    <t>Samlede tillæg til periodevise driftsomkostninger jf. indmeldte oprensningsplan</t>
  </si>
  <si>
    <t>Faktisk periodevis driftsomkostning i 2021</t>
  </si>
  <si>
    <t>Difference (Korrektion)</t>
  </si>
  <si>
    <t>Korrektion af tidligere godkendte omkostninger til medfinansiering af klimatilpasningsprojekter</t>
  </si>
  <si>
    <t>Tidligere godkendt tillæg indregnet i den økonomiske ramme for 2021</t>
  </si>
  <si>
    <t>Faktisk omkostning til medfinansiering af klimatilpasningsprojekter i 2021</t>
  </si>
  <si>
    <t>Korrektioner af den økonomiske ramme for 2021 i alt</t>
  </si>
  <si>
    <t>Fane 10: Periodevise driftsomkostninger givet under prisloftsbekendtgørelsen</t>
  </si>
  <si>
    <t>Periodevise driftsomkostninger til de økonomiske rammer for 2023</t>
  </si>
  <si>
    <t>Periodevise driftsomkostninger i alt i 2021-prisniveau</t>
  </si>
  <si>
    <t>Periodevise driftsomkostninger i alt i 2023-prisniveau</t>
  </si>
  <si>
    <t>Periodevise driftsomkostninger til de økonomiske rammer for 2024</t>
  </si>
  <si>
    <t>Periodevise driftsomkostninger i alt i 2024-prisniveau</t>
  </si>
  <si>
    <t>Periodevise driftsomkostninger til de økonomiske rammer for 2025</t>
  </si>
  <si>
    <t>Periodevise driftsomkostninger i alt i 2025-prisniveau</t>
  </si>
  <si>
    <t>Periodevise driftsomkostninger til de økonomiske rammer for 2026</t>
  </si>
  <si>
    <t>Periodevise driftsomkostninger i alt i 2026-prisniveau</t>
  </si>
  <si>
    <t>Øvrig korrektion af den økonomiske ramme</t>
  </si>
  <si>
    <t>Korrektion af den økonomiske ramme for 2021</t>
  </si>
  <si>
    <t>Periodevise driftsomkostninger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</si>
  <si>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</si>
  <si>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</si>
  <si>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</si>
  <si>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</si>
  <si>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</si>
  <si>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</si>
  <si>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</si>
  <si>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</si>
  <si>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</si>
  <si>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</si>
  <si>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</si>
  <si>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</si>
  <si>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7</t>
  </si>
  <si>
    <t>Fane 7: Indtægter til tilbagebetaling som følge af skattesagen</t>
  </si>
  <si>
    <t>Fane 8: Anlægsprojekter igangsat senest den 1. marts 2016</t>
  </si>
  <si>
    <t>Fane 9.1: Varige tillæg</t>
  </si>
  <si>
    <t>Fane 9.2: Engangstillæg</t>
  </si>
  <si>
    <t>Fane 11: Tilknyttet virksomhed under hovedvirksomheden</t>
  </si>
  <si>
    <t>Fane 12: Bortfald eller nedsættelse af omkostninger til mål, medfinansiering eller udvidelse</t>
  </si>
  <si>
    <t>Fane 13: Nøgletal</t>
  </si>
  <si>
    <t>Korrektion af ØR21</t>
  </si>
  <si>
    <t>Fane 8</t>
  </si>
  <si>
    <t>Fane 9.1</t>
  </si>
  <si>
    <t>Fane 9.2</t>
  </si>
  <si>
    <t>Fane 12</t>
  </si>
  <si>
    <t>Fane 13</t>
  </si>
  <si>
    <t>Fane 5.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</si>
</sst>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 #,##0_-;_-* &quot;-&quot;??_-;_-@_-"/>
    <numFmt numFmtId="166"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4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3" fontId="8" fillId="4" borderId="3" xfId="0" applyNumberFormat="1" applyFont="1" applyFill="1" applyBorder="1" applyAlignment="1" applyProtection="1">
      <alignment horizontal="right"/>
    </xf>
    <xf numFmtId="165" fontId="7" fillId="3" borderId="1" xfId="4" applyNumberFormat="1" applyFont="1" applyFill="1" applyBorder="1" applyAlignment="1" applyProtection="1"/>
    <xf numFmtId="0" fontId="10" fillId="2" borderId="0" xfId="0" applyFont="1" applyFill="1" applyProtection="1"/>
    <xf numFmtId="166" fontId="15" fillId="7" borderId="1" xfId="0" applyNumberFormat="1" applyFont="1" applyFill="1" applyBorder="1" applyAlignment="1" applyProtection="1"/>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7" borderId="2" xfId="0" applyFont="1" applyFill="1" applyBorder="1" applyAlignment="1" applyProtection="1">
      <alignment horizontal="left" vertical="top" wrapText="1"/>
    </xf>
    <xf numFmtId="0" fontId="8" fillId="7" borderId="6" xfId="0" applyFont="1" applyFill="1" applyBorder="1" applyAlignment="1" applyProtection="1">
      <alignment horizontal="left" vertical="top" wrapText="1"/>
    </xf>
    <xf numFmtId="0" fontId="8" fillId="7" borderId="3" xfId="0" applyFont="1" applyFill="1" applyBorder="1" applyAlignment="1" applyProtection="1">
      <alignment horizontal="left" vertical="top" wrapText="1"/>
    </xf>
    <xf numFmtId="0" fontId="7" fillId="3" borderId="1" xfId="0" applyFont="1" applyFill="1" applyBorder="1" applyAlignment="1" applyProtection="1">
      <alignment horizontal="left"/>
    </xf>
    <xf numFmtId="0" fontId="8" fillId="7"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Spildevand/Sams&#248;%20Spildevand%20AS%20(S082)/&#216;R2023/Bilag%20A%20-%20Sams&#248;%20Spildevand%20AS%20(S082)%20-%20&#216;R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Forside"/>
      <sheetName val="Fane 2.1. Økonomisk ramme 2023"/>
      <sheetName val="Fane 2.2. Økonomisk ramme 2024"/>
      <sheetName val="Fane 2.3. Økonomisk ramme 2025"/>
      <sheetName val="Fane 2.4. Økonomisk ramme 2026"/>
      <sheetName val="Fane 3. Omkostninger i ØR2022"/>
      <sheetName val="Fane 4. Ikke-påvirkelige omk."/>
      <sheetName val="Fane 5. Kontrol af ØR2021"/>
      <sheetName val="Fane 6. Korrektion af ØR2021"/>
      <sheetName val="Fane 7. Skattesagen"/>
      <sheetName val="Fane 8. Anlægsprojekter (§ 19)"/>
      <sheetName val="Fane 9.1. Varige tillæg"/>
      <sheetName val="Fane 9.2. Engangstillæg"/>
      <sheetName val="Fane 10. Periodevise driftsomk."/>
      <sheetName val="Fane 11. Tilknyttet virksomhed"/>
      <sheetName val="Fane 12. Bortfald"/>
      <sheetName val="Fane 13. Nøglet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5">
          <cell r="C15">
            <v>3.56E-2</v>
          </cell>
        </row>
        <row r="20">
          <cell r="C20">
            <v>1.7000000000000001E-2</v>
          </cell>
        </row>
      </sheetData>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7" zoomScaleNormal="100" zoomScalePageLayoutView="87"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8" width="9.1796875" style="2"/>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89" t="s">
        <v>4</v>
      </c>
      <c r="E6" s="89"/>
      <c r="F6" s="89"/>
      <c r="G6" s="89"/>
      <c r="H6" s="3"/>
      <c r="I6" s="1"/>
    </row>
    <row r="7" spans="1:9" ht="15" customHeight="1" x14ac:dyDescent="0.35">
      <c r="A7" s="1"/>
      <c r="B7" s="1"/>
      <c r="C7" s="3"/>
      <c r="D7" s="89"/>
      <c r="E7" s="89"/>
      <c r="F7" s="89"/>
      <c r="G7" s="89"/>
      <c r="H7" s="3"/>
      <c r="I7" s="1"/>
    </row>
    <row r="8" spans="1:9" ht="15.5" x14ac:dyDescent="0.35">
      <c r="A8" s="1"/>
      <c r="B8" s="1"/>
      <c r="C8" s="4"/>
      <c r="D8" s="91" t="s">
        <v>104</v>
      </c>
      <c r="E8" s="91"/>
      <c r="F8" s="91"/>
      <c r="G8" s="91"/>
      <c r="H8" s="1"/>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90" t="s">
        <v>5</v>
      </c>
      <c r="E11" s="90"/>
      <c r="F11" s="90"/>
      <c r="G11" s="90"/>
      <c r="H11" s="5"/>
      <c r="I11" s="1"/>
    </row>
    <row r="12" spans="1:9" x14ac:dyDescent="0.35">
      <c r="A12" s="1"/>
      <c r="B12" s="1"/>
      <c r="C12" s="1"/>
      <c r="D12" s="1"/>
      <c r="E12" s="1"/>
      <c r="F12" s="1"/>
      <c r="G12" s="1"/>
      <c r="H12" s="1"/>
      <c r="I12" s="1"/>
    </row>
    <row r="13" spans="1:9" x14ac:dyDescent="0.35">
      <c r="A13" s="1"/>
      <c r="B13" s="1"/>
      <c r="C13" s="6" t="s">
        <v>6</v>
      </c>
      <c r="D13" s="86" t="s">
        <v>77</v>
      </c>
      <c r="E13" s="87"/>
      <c r="F13" s="87"/>
      <c r="G13" s="88"/>
      <c r="H13" s="1"/>
      <c r="I13" s="1"/>
    </row>
    <row r="14" spans="1:9" x14ac:dyDescent="0.35">
      <c r="A14" s="1"/>
      <c r="B14" s="1"/>
      <c r="C14" s="6" t="s">
        <v>13</v>
      </c>
      <c r="D14" s="86" t="s">
        <v>109</v>
      </c>
      <c r="E14" s="87"/>
      <c r="F14" s="87"/>
      <c r="G14" s="88"/>
      <c r="H14" s="1"/>
      <c r="I14" s="1"/>
    </row>
    <row r="15" spans="1:9" x14ac:dyDescent="0.35">
      <c r="A15" s="1"/>
      <c r="B15" s="1"/>
      <c r="C15" s="6" t="s">
        <v>27</v>
      </c>
      <c r="D15" s="86" t="s">
        <v>63</v>
      </c>
      <c r="E15" s="87"/>
      <c r="F15" s="87"/>
      <c r="G15" s="88"/>
      <c r="H15" s="1"/>
      <c r="I15" s="1"/>
    </row>
    <row r="16" spans="1:9" x14ac:dyDescent="0.35">
      <c r="A16" s="1"/>
      <c r="B16" s="1"/>
      <c r="C16" s="6" t="s">
        <v>28</v>
      </c>
      <c r="D16" s="86" t="s">
        <v>78</v>
      </c>
      <c r="E16" s="87"/>
      <c r="F16" s="87"/>
      <c r="G16" s="88"/>
      <c r="H16" s="1"/>
      <c r="I16" s="1"/>
    </row>
    <row r="17" spans="1:9" x14ac:dyDescent="0.35">
      <c r="A17" s="1"/>
      <c r="B17" s="1"/>
      <c r="C17" s="6" t="s">
        <v>48</v>
      </c>
      <c r="D17" s="86" t="s">
        <v>79</v>
      </c>
      <c r="E17" s="87"/>
      <c r="F17" s="87"/>
      <c r="G17" s="88"/>
      <c r="H17" s="1"/>
      <c r="I17" s="1"/>
    </row>
    <row r="18" spans="1:9" x14ac:dyDescent="0.35">
      <c r="A18" s="1"/>
      <c r="B18" s="1"/>
      <c r="C18" s="6" t="s">
        <v>7</v>
      </c>
      <c r="D18" s="83" t="s">
        <v>10</v>
      </c>
      <c r="E18" s="84"/>
      <c r="F18" s="84"/>
      <c r="G18" s="85"/>
      <c r="H18" s="1"/>
      <c r="I18" s="1"/>
    </row>
    <row r="19" spans="1:9" x14ac:dyDescent="0.35">
      <c r="A19" s="1"/>
      <c r="B19" s="1"/>
      <c r="C19" s="6" t="s">
        <v>8</v>
      </c>
      <c r="D19" s="77" t="s">
        <v>80</v>
      </c>
      <c r="E19" s="78"/>
      <c r="F19" s="78"/>
      <c r="G19" s="79"/>
      <c r="H19" s="1"/>
      <c r="I19" s="1"/>
    </row>
    <row r="20" spans="1:9" x14ac:dyDescent="0.35">
      <c r="A20" s="1"/>
      <c r="B20" s="1"/>
      <c r="C20" s="6" t="s">
        <v>45</v>
      </c>
      <c r="D20" s="77" t="s">
        <v>170</v>
      </c>
      <c r="E20" s="78"/>
      <c r="F20" s="78"/>
      <c r="G20" s="79"/>
      <c r="H20" s="1"/>
      <c r="I20" s="1"/>
    </row>
    <row r="21" spans="1:9" x14ac:dyDescent="0.35">
      <c r="A21" s="1"/>
      <c r="B21" s="1"/>
      <c r="C21" s="6" t="s">
        <v>162</v>
      </c>
      <c r="D21" s="77" t="s">
        <v>112</v>
      </c>
      <c r="E21" s="78"/>
      <c r="F21" s="78"/>
      <c r="G21" s="79"/>
      <c r="H21" s="1"/>
      <c r="I21" s="1"/>
    </row>
    <row r="22" spans="1:9" x14ac:dyDescent="0.35">
      <c r="A22" s="1"/>
      <c r="B22" s="1"/>
      <c r="C22" s="6" t="s">
        <v>171</v>
      </c>
      <c r="D22" s="77" t="s">
        <v>107</v>
      </c>
      <c r="E22" s="78"/>
      <c r="F22" s="78"/>
      <c r="G22" s="79"/>
      <c r="H22" s="1"/>
      <c r="I22" s="1"/>
    </row>
    <row r="23" spans="1:9" x14ac:dyDescent="0.35">
      <c r="A23" s="1"/>
      <c r="B23" s="1"/>
      <c r="C23" s="6" t="s">
        <v>172</v>
      </c>
      <c r="D23" s="77" t="s">
        <v>34</v>
      </c>
      <c r="E23" s="78"/>
      <c r="F23" s="78"/>
      <c r="G23" s="79"/>
      <c r="H23" s="1"/>
      <c r="I23" s="1"/>
    </row>
    <row r="24" spans="1:9" x14ac:dyDescent="0.35">
      <c r="A24" s="1"/>
      <c r="B24" s="1"/>
      <c r="C24" s="6" t="s">
        <v>173</v>
      </c>
      <c r="D24" s="77" t="s">
        <v>35</v>
      </c>
      <c r="E24" s="78"/>
      <c r="F24" s="78"/>
      <c r="G24" s="79"/>
      <c r="H24" s="1"/>
      <c r="I24" s="1"/>
    </row>
    <row r="25" spans="1:9" x14ac:dyDescent="0.35">
      <c r="A25" s="1"/>
      <c r="B25" s="1"/>
      <c r="C25" s="6" t="s">
        <v>40</v>
      </c>
      <c r="D25" s="77" t="s">
        <v>149</v>
      </c>
      <c r="E25" s="78"/>
      <c r="F25" s="78"/>
      <c r="G25" s="79"/>
      <c r="H25" s="1"/>
      <c r="I25" s="1"/>
    </row>
    <row r="26" spans="1:9" x14ac:dyDescent="0.35">
      <c r="A26" s="1"/>
      <c r="B26" s="1"/>
      <c r="C26" s="6" t="s">
        <v>113</v>
      </c>
      <c r="D26" s="77" t="s">
        <v>52</v>
      </c>
      <c r="E26" s="78"/>
      <c r="F26" s="78"/>
      <c r="G26" s="79"/>
      <c r="H26" s="1"/>
      <c r="I26" s="1"/>
    </row>
    <row r="27" spans="1:9" x14ac:dyDescent="0.35">
      <c r="A27" s="1"/>
      <c r="B27" s="1"/>
      <c r="C27" s="6" t="s">
        <v>174</v>
      </c>
      <c r="D27" s="77" t="s">
        <v>29</v>
      </c>
      <c r="E27" s="78"/>
      <c r="F27" s="78"/>
      <c r="G27" s="79"/>
      <c r="H27" s="1"/>
      <c r="I27" s="1"/>
    </row>
    <row r="28" spans="1:9" x14ac:dyDescent="0.35">
      <c r="A28" s="1"/>
      <c r="B28" s="1"/>
      <c r="C28" s="6" t="s">
        <v>175</v>
      </c>
      <c r="D28" s="80" t="s">
        <v>46</v>
      </c>
      <c r="E28" s="81"/>
      <c r="F28" s="81"/>
      <c r="G28" s="82"/>
      <c r="H28" s="1"/>
      <c r="I28" s="1"/>
    </row>
    <row r="29" spans="1:9" x14ac:dyDescent="0.35">
      <c r="A29" s="1"/>
      <c r="B29" s="1"/>
      <c r="C29" s="1"/>
      <c r="D29" s="53"/>
      <c r="E29" s="53"/>
      <c r="F29" s="53"/>
      <c r="G29" s="53"/>
      <c r="H29" s="1"/>
      <c r="I29" s="1"/>
    </row>
    <row r="30" spans="1:9" x14ac:dyDescent="0.35">
      <c r="A30" s="1"/>
      <c r="B30" s="1"/>
      <c r="C30" s="1"/>
      <c r="D30" s="53"/>
      <c r="E30" s="53"/>
      <c r="F30" s="53"/>
      <c r="G30" s="53"/>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sheetData>
  <sheetProtection algorithmName="SHA-512" hashValue="JN/DXDJ/zxeERNZh0ZV/d+cDI+xAAu0L3gDlSPxosPnewJy0dp3uBSeMF7G+X8vQ/lNGgc5pWk9j2EKy0RCdEQ==" saltValue="8wpIhUZaAje24Fg7GVEv5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9">
    <mergeCell ref="D14:G14"/>
    <mergeCell ref="D6:G7"/>
    <mergeCell ref="D19:G19"/>
    <mergeCell ref="D11:G11"/>
    <mergeCell ref="D8:G8"/>
    <mergeCell ref="D15:G15"/>
    <mergeCell ref="D16:G16"/>
    <mergeCell ref="D13:G13"/>
    <mergeCell ref="D17:G17"/>
    <mergeCell ref="D27:G27"/>
    <mergeCell ref="D28:G28"/>
    <mergeCell ref="D18:G18"/>
    <mergeCell ref="D22:G22"/>
    <mergeCell ref="D23:G23"/>
    <mergeCell ref="D26:G26"/>
    <mergeCell ref="D24:G24"/>
    <mergeCell ref="D21:G21"/>
    <mergeCell ref="D20:G20"/>
    <mergeCell ref="D25:G25"/>
  </mergeCells>
  <hyperlinks>
    <hyperlink ref="D14:G14" location="'Fane 2.2. Økonomisk ramme 2024'!A1" display="Vejledende økonomisk ramme for 2024"/>
    <hyperlink ref="D23:G23" location="'Fane 9.1. Varige tillæg'!A1" display="Varige tillæg"/>
    <hyperlink ref="D26:G26" location="'Fane 11. Tilknyttet virksomhed'!A1" display="Tilknyttet virksomhed"/>
    <hyperlink ref="D27:G27"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8:G28" location="'Fane 13. Nøgletal'!A1" display="Nøgletal"/>
    <hyperlink ref="D17:G17" location="'Fane 3. Omkostninger i ØR2022'!A1" display="Omkostninger i ØR2022"/>
    <hyperlink ref="D24:G24" location="'Fane 9.2. Engangstillæg'!A1" display="Engangstillæg"/>
    <hyperlink ref="D22:G22" location="'Fane 8. Anlægsprojekter (§ 19)'!A1" display="Anlægsprojekter (§ 19) "/>
    <hyperlink ref="D21:G21" location="'Fane 7. Skattesagen'!A1" display="Skattesagen"/>
    <hyperlink ref="D20:G20" location="'Fane 6. Korrektion af ØR2021'!A1" display="Korrektion af ØR21"/>
    <hyperlink ref="D25:G25" location="'Fane 10. Periodevise driftsomk.'!A1" display="Periodevise driftsomkostninger"/>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796875" defaultRowHeight="14.5" x14ac:dyDescent="0.35"/>
  <cols>
    <col min="1" max="1" width="4.7265625" style="49" customWidth="1"/>
    <col min="2" max="2" width="22.54296875" style="49" customWidth="1"/>
    <col min="3" max="3" width="8.26953125" style="49" customWidth="1"/>
    <col min="4" max="6" width="10.7265625" style="49" customWidth="1"/>
    <col min="7" max="7" width="11.1796875" style="49" customWidth="1"/>
    <col min="8" max="8" width="3.26953125" style="49" customWidth="1"/>
    <col min="9" max="9" width="4.81640625" style="49" customWidth="1"/>
    <col min="10" max="16384" width="9.1796875" style="49"/>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92" t="s">
        <v>163</v>
      </c>
      <c r="C3" s="92"/>
      <c r="D3" s="92"/>
      <c r="E3" s="92"/>
      <c r="F3" s="92"/>
      <c r="G3" s="92"/>
      <c r="H3" s="92"/>
      <c r="I3" s="1"/>
    </row>
    <row r="4" spans="1:9" ht="15" customHeight="1" x14ac:dyDescent="0.35">
      <c r="A4" s="1"/>
      <c r="B4" s="92"/>
      <c r="C4" s="92"/>
      <c r="D4" s="92"/>
      <c r="E4" s="92"/>
      <c r="F4" s="92"/>
      <c r="G4" s="92"/>
      <c r="H4" s="92"/>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13" t="s">
        <v>114</v>
      </c>
      <c r="C8" s="114"/>
      <c r="D8" s="114"/>
      <c r="E8" s="114"/>
      <c r="F8" s="114"/>
      <c r="G8" s="114"/>
      <c r="H8" s="115"/>
      <c r="I8" s="1"/>
    </row>
    <row r="9" spans="1:9" ht="15" customHeight="1" x14ac:dyDescent="0.35">
      <c r="A9" s="1"/>
      <c r="B9" s="110" t="s">
        <v>115</v>
      </c>
      <c r="C9" s="111"/>
      <c r="D9" s="111"/>
      <c r="E9" s="111"/>
      <c r="F9" s="111"/>
      <c r="G9" s="111"/>
      <c r="H9" s="112"/>
      <c r="I9" s="1"/>
    </row>
    <row r="10" spans="1:9" x14ac:dyDescent="0.35">
      <c r="A10" s="1"/>
      <c r="B10" s="97" t="s">
        <v>150</v>
      </c>
      <c r="C10" s="98"/>
      <c r="D10" s="98"/>
      <c r="E10" s="98"/>
      <c r="F10" s="99"/>
      <c r="G10" s="50">
        <v>0</v>
      </c>
      <c r="H10" s="8" t="s">
        <v>3</v>
      </c>
      <c r="I10" s="1"/>
    </row>
    <row r="11" spans="1:9" x14ac:dyDescent="0.35">
      <c r="A11" s="1"/>
      <c r="B11" s="97" t="s">
        <v>151</v>
      </c>
      <c r="C11" s="98"/>
      <c r="D11" s="98"/>
      <c r="E11" s="98"/>
      <c r="F11" s="99"/>
      <c r="G11" s="50">
        <v>0</v>
      </c>
      <c r="H11" s="8" t="s">
        <v>3</v>
      </c>
      <c r="I11" s="1"/>
    </row>
    <row r="12" spans="1:9" x14ac:dyDescent="0.35">
      <c r="A12" s="1"/>
      <c r="B12" s="97" t="s">
        <v>152</v>
      </c>
      <c r="C12" s="98"/>
      <c r="D12" s="98"/>
      <c r="E12" s="98"/>
      <c r="F12" s="99"/>
      <c r="G12" s="8">
        <v>0</v>
      </c>
      <c r="H12" s="8" t="s">
        <v>3</v>
      </c>
      <c r="I12" s="1"/>
    </row>
    <row r="13" spans="1:9" x14ac:dyDescent="0.35">
      <c r="A13" s="1"/>
      <c r="B13" s="97" t="s">
        <v>153</v>
      </c>
      <c r="C13" s="98"/>
      <c r="D13" s="98"/>
      <c r="E13" s="98"/>
      <c r="F13" s="99"/>
      <c r="G13" s="8">
        <v>0</v>
      </c>
      <c r="H13" s="8" t="s">
        <v>3</v>
      </c>
      <c r="I13" s="1"/>
    </row>
    <row r="14" spans="1:9" x14ac:dyDescent="0.35">
      <c r="A14" s="1"/>
      <c r="B14" s="97" t="s">
        <v>154</v>
      </c>
      <c r="C14" s="98"/>
      <c r="D14" s="98"/>
      <c r="E14" s="98"/>
      <c r="F14" s="99"/>
      <c r="G14" s="8">
        <v>0</v>
      </c>
      <c r="H14" s="8" t="s">
        <v>3</v>
      </c>
      <c r="I14" s="1"/>
    </row>
    <row r="15" spans="1:9" x14ac:dyDescent="0.35">
      <c r="A15" s="1"/>
      <c r="B15" s="97" t="s">
        <v>155</v>
      </c>
      <c r="C15" s="98"/>
      <c r="D15" s="98"/>
      <c r="E15" s="98"/>
      <c r="F15" s="99"/>
      <c r="G15" s="8">
        <v>0</v>
      </c>
      <c r="H15" s="8" t="s">
        <v>3</v>
      </c>
      <c r="I15" s="1"/>
    </row>
    <row r="16" spans="1:9" x14ac:dyDescent="0.35">
      <c r="A16" s="1"/>
      <c r="B16" s="97" t="s">
        <v>156</v>
      </c>
      <c r="C16" s="98"/>
      <c r="D16" s="98"/>
      <c r="E16" s="98"/>
      <c r="F16" s="99"/>
      <c r="G16" s="8">
        <v>0</v>
      </c>
      <c r="H16" s="8" t="s">
        <v>3</v>
      </c>
      <c r="I16" s="1"/>
    </row>
    <row r="17" spans="1:9" x14ac:dyDescent="0.35">
      <c r="A17" s="1"/>
      <c r="B17" s="97" t="s">
        <v>157</v>
      </c>
      <c r="C17" s="98"/>
      <c r="D17" s="98"/>
      <c r="E17" s="98"/>
      <c r="F17" s="99"/>
      <c r="G17" s="8">
        <v>0</v>
      </c>
      <c r="H17" s="8" t="s">
        <v>3</v>
      </c>
      <c r="I17" s="1"/>
    </row>
    <row r="18" spans="1:9" x14ac:dyDescent="0.35">
      <c r="A18" s="1"/>
      <c r="B18" s="113" t="s">
        <v>116</v>
      </c>
      <c r="C18" s="114"/>
      <c r="D18" s="114"/>
      <c r="E18" s="114"/>
      <c r="F18" s="115"/>
      <c r="G18" s="10">
        <f>SUM(G10:G17)</f>
        <v>0</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sheetData>
  <sheetProtection algorithmName="SHA-512" hashValue="WLWl88/n0xO8GB7ztV1v7Y0DkMDoDfm1c9gbCA9rFlvvAjCE73UGy7bAck7p8cDibYMvAC3PrFRJ3naF6a9TxQ==" saltValue="CzAo4CXezY+QsQzQofsejw=="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796875" defaultRowHeight="14.5" x14ac:dyDescent="0.35"/>
  <cols>
    <col min="1" max="1" width="3.54296875" style="2" customWidth="1"/>
    <col min="2" max="2" width="22.81640625" style="2" customWidth="1"/>
    <col min="3" max="3" width="6.54296875" style="2" customWidth="1"/>
    <col min="4" max="4" width="9.54296875" style="2" customWidth="1"/>
    <col min="5" max="5" width="3" style="2" customWidth="1"/>
    <col min="6" max="6" width="9.54296875" style="2" customWidth="1"/>
    <col min="7" max="7" width="3" style="2" customWidth="1"/>
    <col min="8" max="8" width="9.54296875" style="2" customWidth="1"/>
    <col min="9" max="9" width="3" style="2" customWidth="1"/>
    <col min="10" max="10" width="9.54296875" style="2" customWidth="1"/>
    <col min="11" max="11" width="3.26953125" style="2" customWidth="1"/>
    <col min="12" max="12" width="3.542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92" t="s">
        <v>164</v>
      </c>
      <c r="C3" s="92"/>
      <c r="D3" s="92"/>
      <c r="E3" s="92"/>
      <c r="F3" s="92"/>
      <c r="G3" s="92"/>
      <c r="H3" s="92"/>
      <c r="I3" s="92"/>
      <c r="J3" s="92"/>
      <c r="K3" s="92"/>
      <c r="L3" s="1"/>
    </row>
    <row r="4" spans="1:12" ht="15" customHeight="1" x14ac:dyDescent="0.35">
      <c r="A4" s="1"/>
      <c r="B4" s="92"/>
      <c r="C4" s="92"/>
      <c r="D4" s="92"/>
      <c r="E4" s="92"/>
      <c r="F4" s="92"/>
      <c r="G4" s="92"/>
      <c r="H4" s="92"/>
      <c r="I4" s="92"/>
      <c r="J4" s="92"/>
      <c r="K4" s="92"/>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13" t="s">
        <v>100</v>
      </c>
      <c r="C8" s="114"/>
      <c r="D8" s="114"/>
      <c r="E8" s="114"/>
      <c r="F8" s="114"/>
      <c r="G8" s="114"/>
      <c r="H8" s="114"/>
      <c r="I8" s="114"/>
      <c r="J8" s="114"/>
      <c r="K8" s="115"/>
      <c r="L8" s="1"/>
    </row>
    <row r="9" spans="1:12" ht="39.75" customHeight="1" x14ac:dyDescent="0.35">
      <c r="A9" s="1"/>
      <c r="B9" s="48" t="s">
        <v>0</v>
      </c>
      <c r="C9" s="16" t="s">
        <v>1</v>
      </c>
      <c r="D9" s="134" t="s">
        <v>110</v>
      </c>
      <c r="E9" s="135"/>
      <c r="F9" s="134" t="s">
        <v>2</v>
      </c>
      <c r="G9" s="135"/>
      <c r="H9" s="134" t="s">
        <v>111</v>
      </c>
      <c r="I9" s="135"/>
      <c r="J9" s="134" t="s">
        <v>22</v>
      </c>
      <c r="K9" s="135"/>
      <c r="L9" s="1"/>
    </row>
    <row r="10" spans="1:12" x14ac:dyDescent="0.35">
      <c r="A10" s="1"/>
      <c r="B10" s="65" t="s">
        <v>123</v>
      </c>
      <c r="C10" s="29">
        <v>0</v>
      </c>
      <c r="D10" s="8">
        <v>0</v>
      </c>
      <c r="E10" s="12" t="s">
        <v>3</v>
      </c>
      <c r="F10" s="8">
        <f>IFERROR(D10/C10,0)</f>
        <v>0</v>
      </c>
      <c r="G10" s="12" t="s">
        <v>3</v>
      </c>
      <c r="H10" s="8">
        <v>0</v>
      </c>
      <c r="I10" s="12" t="s">
        <v>3</v>
      </c>
      <c r="J10" s="8">
        <v>0</v>
      </c>
      <c r="K10" s="12" t="s">
        <v>3</v>
      </c>
      <c r="L10" s="1"/>
    </row>
    <row r="11" spans="1:12" x14ac:dyDescent="0.35">
      <c r="A11" s="1"/>
      <c r="B11" s="66" t="s">
        <v>101</v>
      </c>
      <c r="C11" s="67"/>
      <c r="D11" s="68"/>
      <c r="E11" s="68"/>
      <c r="F11" s="10">
        <f>SUM(F10:F10)</f>
        <v>0</v>
      </c>
      <c r="G11" s="11" t="s">
        <v>3</v>
      </c>
      <c r="H11" s="10">
        <f>SUM(H10:H10)</f>
        <v>0</v>
      </c>
      <c r="I11" s="11"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sheetData>
  <sheetProtection algorithmName="SHA-512" hashValue="lxl827Sjm1Vxt7Z6GaSHHAD7aq20601hfblIyd2b1nTX8CEWYaAKxxizhTBoMxWulO0oso9IoHHkx+JZY/dLzA==" saltValue="dI4pGcV1NhiGX9Hvap7RQ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165</v>
      </c>
      <c r="C3" s="92"/>
      <c r="D3" s="92"/>
      <c r="E3" s="92"/>
      <c r="F3" s="92"/>
      <c r="G3" s="1"/>
    </row>
    <row r="4" spans="1:7" ht="15" customHeight="1" x14ac:dyDescent="0.35">
      <c r="A4" s="1"/>
      <c r="B4" s="92"/>
      <c r="C4" s="92"/>
      <c r="D4" s="92"/>
      <c r="E4" s="92"/>
      <c r="F4" s="9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5" t="s">
        <v>31</v>
      </c>
      <c r="C8" s="22"/>
      <c r="D8" s="22"/>
      <c r="E8" s="22"/>
      <c r="F8" s="76"/>
      <c r="G8" s="1"/>
    </row>
    <row r="9" spans="1:7" ht="17.25" customHeight="1" x14ac:dyDescent="0.35">
      <c r="A9" s="1"/>
      <c r="B9" s="61" t="s">
        <v>14</v>
      </c>
      <c r="C9" s="61" t="s">
        <v>9</v>
      </c>
      <c r="D9" s="62"/>
      <c r="E9" s="61" t="s">
        <v>23</v>
      </c>
      <c r="F9" s="74"/>
      <c r="G9" s="1"/>
    </row>
    <row r="10" spans="1:7" x14ac:dyDescent="0.35">
      <c r="A10" s="1"/>
      <c r="B10" s="20" t="s">
        <v>124</v>
      </c>
      <c r="C10" s="19">
        <f>'Fane 8. Anlægsprojekter (§ 19)'!H11</f>
        <v>0</v>
      </c>
      <c r="D10" s="12" t="s">
        <v>3</v>
      </c>
      <c r="E10" s="8">
        <f>SUM('Fane 8. Anlægsprojekter (§ 19)'!F11,'Fane 8. Anlægsprojekter (§ 19)'!J11)</f>
        <v>0</v>
      </c>
      <c r="F10" s="12" t="s">
        <v>3</v>
      </c>
      <c r="G10" s="1"/>
    </row>
    <row r="11" spans="1:7" x14ac:dyDescent="0.35">
      <c r="A11" s="1"/>
      <c r="B11" s="20" t="s">
        <v>49</v>
      </c>
      <c r="C11" s="19">
        <v>0</v>
      </c>
      <c r="D11" s="12" t="s">
        <v>3</v>
      </c>
      <c r="E11" s="8">
        <v>0</v>
      </c>
      <c r="F11" s="12" t="s">
        <v>3</v>
      </c>
      <c r="G11" s="1"/>
    </row>
    <row r="12" spans="1:7" x14ac:dyDescent="0.35">
      <c r="A12" s="1"/>
      <c r="B12" s="75" t="s">
        <v>66</v>
      </c>
      <c r="C12" s="10">
        <f>SUM(C10:C11)</f>
        <v>0</v>
      </c>
      <c r="D12" s="11" t="s">
        <v>3</v>
      </c>
      <c r="E12" s="10">
        <f>SUM(E10:E11)</f>
        <v>0</v>
      </c>
      <c r="F12" s="11" t="s">
        <v>3</v>
      </c>
      <c r="G12" s="1"/>
    </row>
    <row r="13" spans="1:7" x14ac:dyDescent="0.35">
      <c r="A13" s="1"/>
      <c r="B13" s="75" t="s">
        <v>97</v>
      </c>
      <c r="C13" s="10">
        <f>C12*(1+'Fane 13. Nøgletal'!C15)</f>
        <v>0</v>
      </c>
      <c r="D13" s="11" t="s">
        <v>3</v>
      </c>
      <c r="E13" s="10">
        <f>E12*(1+'Fane 13. Nøgletal'!C15)</f>
        <v>0</v>
      </c>
      <c r="F13" s="11" t="s">
        <v>3</v>
      </c>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gxYv2//XPIm1wGrowXuDw6nDh900dt5of+ASyJkZWCiwy//biDW1Ypmz0ZqRr4N6c0hjD8mBVHfms8bf1g+Tig==" saltValue="VXsb5A9eMqB1XSRhH9LUr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166</v>
      </c>
      <c r="C3" s="92"/>
      <c r="D3" s="92"/>
      <c r="E3" s="92"/>
      <c r="F3" s="92"/>
      <c r="G3" s="1"/>
    </row>
    <row r="4" spans="1:7" ht="15" customHeight="1" x14ac:dyDescent="0.35">
      <c r="A4" s="1"/>
      <c r="B4" s="92"/>
      <c r="C4" s="92"/>
      <c r="D4" s="92"/>
      <c r="E4" s="92"/>
      <c r="F4" s="92"/>
      <c r="G4" s="1"/>
    </row>
    <row r="5" spans="1:7" x14ac:dyDescent="0.35">
      <c r="A5" s="1"/>
      <c r="B5" s="1"/>
      <c r="C5" s="1"/>
      <c r="D5" s="1"/>
      <c r="E5" s="1"/>
      <c r="F5" s="1"/>
      <c r="G5" s="1"/>
    </row>
    <row r="6" spans="1:7" x14ac:dyDescent="0.35">
      <c r="A6" s="1"/>
      <c r="B6" s="1"/>
      <c r="C6" s="1"/>
      <c r="D6" s="1"/>
      <c r="E6" s="1"/>
      <c r="F6" s="1"/>
      <c r="G6" s="1"/>
    </row>
    <row r="7" spans="1:7" x14ac:dyDescent="0.35">
      <c r="A7" s="1"/>
      <c r="B7" s="113" t="s">
        <v>41</v>
      </c>
      <c r="C7" s="114"/>
      <c r="D7" s="114"/>
      <c r="E7" s="114"/>
      <c r="F7" s="115"/>
      <c r="G7" s="1"/>
    </row>
    <row r="8" spans="1:7" x14ac:dyDescent="0.35">
      <c r="A8" s="1"/>
      <c r="B8" s="61" t="s">
        <v>14</v>
      </c>
      <c r="C8" s="61" t="s">
        <v>9</v>
      </c>
      <c r="D8" s="62"/>
      <c r="E8" s="61" t="s">
        <v>23</v>
      </c>
      <c r="F8" s="74"/>
      <c r="G8" s="1"/>
    </row>
    <row r="9" spans="1:7" x14ac:dyDescent="0.35">
      <c r="A9" s="1"/>
      <c r="B9" s="20" t="s">
        <v>125</v>
      </c>
      <c r="C9" s="19">
        <v>0</v>
      </c>
      <c r="D9" s="12" t="s">
        <v>3</v>
      </c>
      <c r="E9" s="19">
        <v>0</v>
      </c>
      <c r="F9" s="12" t="s">
        <v>3</v>
      </c>
      <c r="G9" s="1"/>
    </row>
    <row r="10" spans="1:7" x14ac:dyDescent="0.35">
      <c r="A10" s="1"/>
      <c r="B10" s="75" t="s">
        <v>106</v>
      </c>
      <c r="C10" s="10">
        <f>SUM(C9:C9)</f>
        <v>0</v>
      </c>
      <c r="D10" s="11" t="s">
        <v>3</v>
      </c>
      <c r="E10" s="10">
        <f>SUM(E9:E9)</f>
        <v>0</v>
      </c>
      <c r="F10" s="11" t="s">
        <v>3</v>
      </c>
      <c r="G10" s="1"/>
    </row>
    <row r="11" spans="1:7" x14ac:dyDescent="0.35">
      <c r="A11" s="1"/>
      <c r="B11" s="75" t="s">
        <v>59</v>
      </c>
      <c r="C11" s="10">
        <f>C10*(1+'Fane 13. Nøgletal'!C15)^2</f>
        <v>0</v>
      </c>
      <c r="D11" s="11" t="s">
        <v>3</v>
      </c>
      <c r="E11" s="10">
        <f>E10*(1+'Fane 13. Nøgletal'!C15)^2</f>
        <v>0</v>
      </c>
      <c r="F11" s="11" t="s">
        <v>3</v>
      </c>
      <c r="G11" s="1"/>
    </row>
    <row r="12" spans="1:7" x14ac:dyDescent="0.35">
      <c r="A12" s="1"/>
      <c r="B12" s="1"/>
      <c r="C12" s="1"/>
      <c r="D12" s="1"/>
      <c r="E12" s="1"/>
      <c r="F12" s="1"/>
      <c r="G12" s="1"/>
    </row>
    <row r="13" spans="1:7" x14ac:dyDescent="0.35">
      <c r="A13" s="1"/>
      <c r="B13" s="136"/>
      <c r="C13" s="136"/>
      <c r="D13" s="136"/>
      <c r="E13" s="136"/>
      <c r="F13" s="136"/>
      <c r="G13" s="1"/>
    </row>
    <row r="14" spans="1:7" x14ac:dyDescent="0.35">
      <c r="A14" s="1"/>
      <c r="B14" s="39"/>
      <c r="C14" s="39"/>
      <c r="D14" s="39"/>
      <c r="E14" s="39"/>
      <c r="F14" s="40"/>
      <c r="G14" s="1"/>
    </row>
    <row r="15" spans="1:7" x14ac:dyDescent="0.35">
      <c r="A15" s="1"/>
      <c r="B15" s="41"/>
      <c r="C15" s="42"/>
      <c r="D15" s="43"/>
      <c r="E15" s="42"/>
      <c r="F15" s="43"/>
      <c r="G15" s="1"/>
    </row>
    <row r="16" spans="1:7" x14ac:dyDescent="0.35">
      <c r="A16" s="1"/>
      <c r="B16" s="41"/>
      <c r="C16" s="42"/>
      <c r="D16" s="43"/>
      <c r="E16" s="42"/>
      <c r="F16" s="43"/>
      <c r="G16" s="1"/>
    </row>
    <row r="17" spans="1:7" x14ac:dyDescent="0.35">
      <c r="A17" s="1"/>
      <c r="B17" s="44"/>
      <c r="C17" s="45"/>
      <c r="D17" s="46"/>
      <c r="E17" s="45"/>
      <c r="F17" s="46"/>
      <c r="G17" s="1"/>
    </row>
    <row r="18" spans="1:7" x14ac:dyDescent="0.35">
      <c r="A18" s="1"/>
      <c r="B18" s="44"/>
      <c r="C18" s="45"/>
      <c r="D18" s="46"/>
      <c r="E18" s="45"/>
      <c r="F18" s="46"/>
      <c r="G18" s="1"/>
    </row>
    <row r="19" spans="1:7" x14ac:dyDescent="0.35">
      <c r="A19" s="1"/>
      <c r="B19" s="38"/>
      <c r="C19" s="38"/>
      <c r="D19" s="38"/>
      <c r="E19" s="38"/>
      <c r="F19" s="38"/>
      <c r="G19" s="1"/>
    </row>
    <row r="20" spans="1:7" x14ac:dyDescent="0.35">
      <c r="A20" s="1"/>
      <c r="B20" s="136"/>
      <c r="C20" s="136"/>
      <c r="D20" s="136"/>
      <c r="E20" s="136"/>
      <c r="F20" s="136"/>
      <c r="G20" s="1"/>
    </row>
    <row r="21" spans="1:7" x14ac:dyDescent="0.35">
      <c r="A21" s="1"/>
      <c r="B21" s="39"/>
      <c r="C21" s="39"/>
      <c r="D21" s="39"/>
      <c r="E21" s="39"/>
      <c r="F21" s="40"/>
      <c r="G21" s="1"/>
    </row>
    <row r="22" spans="1:7" x14ac:dyDescent="0.35">
      <c r="A22" s="1"/>
      <c r="B22" s="41"/>
      <c r="C22" s="42"/>
      <c r="D22" s="43"/>
      <c r="E22" s="42"/>
      <c r="F22" s="43"/>
      <c r="G22" s="1"/>
    </row>
    <row r="23" spans="1:7" x14ac:dyDescent="0.35">
      <c r="A23" s="1"/>
      <c r="B23" s="41"/>
      <c r="C23" s="42"/>
      <c r="D23" s="43"/>
      <c r="E23" s="42"/>
      <c r="F23" s="43"/>
      <c r="G23" s="1"/>
    </row>
    <row r="24" spans="1:7" x14ac:dyDescent="0.35">
      <c r="A24" s="1"/>
      <c r="B24" s="44"/>
      <c r="C24" s="45"/>
      <c r="D24" s="46"/>
      <c r="E24" s="45"/>
      <c r="F24" s="46"/>
      <c r="G24" s="1"/>
    </row>
    <row r="25" spans="1:7" x14ac:dyDescent="0.35">
      <c r="A25" s="1"/>
      <c r="B25" s="44"/>
      <c r="C25" s="45"/>
      <c r="D25" s="46"/>
      <c r="E25" s="45"/>
      <c r="F25" s="46"/>
      <c r="G25" s="1"/>
    </row>
    <row r="26" spans="1:7" x14ac:dyDescent="0.35">
      <c r="A26" s="1"/>
      <c r="B26" s="38"/>
      <c r="C26" s="38"/>
      <c r="D26" s="38"/>
      <c r="E26" s="38"/>
      <c r="F26" s="38"/>
      <c r="G26" s="1"/>
    </row>
    <row r="27" spans="1:7" x14ac:dyDescent="0.35">
      <c r="A27" s="1"/>
      <c r="B27" s="136"/>
      <c r="C27" s="136"/>
      <c r="D27" s="136"/>
      <c r="E27" s="136"/>
      <c r="F27" s="136"/>
      <c r="G27" s="1"/>
    </row>
    <row r="28" spans="1:7" x14ac:dyDescent="0.35">
      <c r="A28" s="1"/>
      <c r="B28" s="39"/>
      <c r="C28" s="39"/>
      <c r="D28" s="39"/>
      <c r="E28" s="39"/>
      <c r="F28" s="40"/>
      <c r="G28" s="1"/>
    </row>
    <row r="29" spans="1:7" x14ac:dyDescent="0.35">
      <c r="A29" s="1"/>
      <c r="B29" s="41"/>
      <c r="C29" s="42"/>
      <c r="D29" s="43"/>
      <c r="E29" s="42"/>
      <c r="F29" s="43"/>
      <c r="G29" s="1"/>
    </row>
    <row r="30" spans="1:7" x14ac:dyDescent="0.35">
      <c r="A30" s="1"/>
      <c r="B30" s="41"/>
      <c r="C30" s="42"/>
      <c r="D30" s="43"/>
      <c r="E30" s="42"/>
      <c r="F30" s="43"/>
      <c r="G30" s="1"/>
    </row>
    <row r="31" spans="1:7" x14ac:dyDescent="0.35">
      <c r="A31" s="1"/>
      <c r="B31" s="44"/>
      <c r="C31" s="45"/>
      <c r="D31" s="46"/>
      <c r="E31" s="45"/>
      <c r="F31" s="46"/>
      <c r="G31" s="1"/>
    </row>
    <row r="32" spans="1:7" x14ac:dyDescent="0.35">
      <c r="A32" s="1"/>
      <c r="B32" s="44"/>
      <c r="C32" s="45"/>
      <c r="D32" s="46"/>
      <c r="E32" s="45"/>
      <c r="F32" s="46"/>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sheetData>
  <sheetProtection algorithmName="SHA-512" hashValue="zUodkbIsSMc5OBGP6Ac5iDrIplVxyxGmDArQaG1PUeI+G05/ZS5KW+BxPRdOaaCKUsdQMu5HvubwVF11VDeVAw==" saltValue="zmMD0NN6OYr/CvOpLTAHK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4" t="s">
        <v>137</v>
      </c>
      <c r="C3" s="94"/>
      <c r="D3" s="94"/>
      <c r="E3" s="94"/>
      <c r="F3" s="94"/>
      <c r="G3" s="1"/>
    </row>
    <row r="4" spans="1:7" ht="15" customHeight="1" x14ac:dyDescent="0.35">
      <c r="A4" s="1"/>
      <c r="B4" s="94"/>
      <c r="C4" s="94"/>
      <c r="D4" s="94"/>
      <c r="E4" s="94"/>
      <c r="F4" s="94"/>
      <c r="G4" s="1"/>
    </row>
    <row r="5" spans="1:7" x14ac:dyDescent="0.35">
      <c r="A5" s="1"/>
      <c r="B5" s="94"/>
      <c r="C5" s="94"/>
      <c r="D5" s="94"/>
      <c r="E5" s="94"/>
      <c r="F5" s="94"/>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x14ac:dyDescent="0.35">
      <c r="A9" s="1"/>
      <c r="B9" s="113" t="s">
        <v>138</v>
      </c>
      <c r="C9" s="114"/>
      <c r="D9" s="114"/>
      <c r="E9" s="114"/>
      <c r="F9" s="115"/>
      <c r="G9" s="1"/>
    </row>
    <row r="10" spans="1:7" x14ac:dyDescent="0.35">
      <c r="A10" s="1"/>
      <c r="B10" s="97" t="s">
        <v>139</v>
      </c>
      <c r="C10" s="98"/>
      <c r="D10" s="99"/>
      <c r="E10" s="8">
        <v>7453.4839834536351</v>
      </c>
      <c r="F10" s="12" t="s">
        <v>3</v>
      </c>
      <c r="G10" s="1"/>
    </row>
    <row r="11" spans="1:7" x14ac:dyDescent="0.35">
      <c r="A11" s="1"/>
      <c r="B11" s="104" t="s">
        <v>43</v>
      </c>
      <c r="C11" s="105"/>
      <c r="D11" s="106"/>
      <c r="E11" s="8">
        <f>-E10*'[1]Fane 13. Nøgletal'!C20</f>
        <v>-126.7092277187118</v>
      </c>
      <c r="F11" s="12" t="s">
        <v>3</v>
      </c>
      <c r="G11" s="1"/>
    </row>
    <row r="12" spans="1:7" x14ac:dyDescent="0.35">
      <c r="A12" s="1"/>
      <c r="B12" s="113" t="s">
        <v>140</v>
      </c>
      <c r="C12" s="114"/>
      <c r="D12" s="115"/>
      <c r="E12" s="10">
        <f>SUM(E10:E11)*(1+'[1]Fane 13. Nøgletal'!C15)^2</f>
        <v>7857.7267795976786</v>
      </c>
      <c r="F12" s="11" t="s">
        <v>3</v>
      </c>
      <c r="G12" s="1"/>
    </row>
    <row r="13" spans="1:7" x14ac:dyDescent="0.35">
      <c r="A13" s="1"/>
      <c r="B13" s="1"/>
      <c r="C13" s="1"/>
      <c r="D13" s="1"/>
      <c r="E13" s="1"/>
      <c r="F13" s="1"/>
      <c r="G13" s="1"/>
    </row>
    <row r="14" spans="1:7" x14ac:dyDescent="0.35">
      <c r="A14" s="1"/>
      <c r="B14" s="113" t="s">
        <v>141</v>
      </c>
      <c r="C14" s="114"/>
      <c r="D14" s="114"/>
      <c r="E14" s="114"/>
      <c r="F14" s="115"/>
      <c r="G14" s="1"/>
    </row>
    <row r="15" spans="1:7" x14ac:dyDescent="0.35">
      <c r="A15" s="1"/>
      <c r="B15" s="97" t="s">
        <v>139</v>
      </c>
      <c r="C15" s="98"/>
      <c r="D15" s="99"/>
      <c r="E15" s="8">
        <v>7453.4839834536351</v>
      </c>
      <c r="F15" s="12" t="s">
        <v>3</v>
      </c>
      <c r="G15" s="1"/>
    </row>
    <row r="16" spans="1:7" x14ac:dyDescent="0.35">
      <c r="A16" s="1"/>
      <c r="B16" s="104" t="s">
        <v>43</v>
      </c>
      <c r="C16" s="105"/>
      <c r="D16" s="106"/>
      <c r="E16" s="8">
        <f>-E15*'[1]Fane 13. Nøgletal'!C20</f>
        <v>-126.7092277187118</v>
      </c>
      <c r="F16" s="12" t="s">
        <v>3</v>
      </c>
      <c r="G16" s="1"/>
    </row>
    <row r="17" spans="1:7" x14ac:dyDescent="0.35">
      <c r="A17" s="1"/>
      <c r="B17" s="113" t="s">
        <v>142</v>
      </c>
      <c r="C17" s="114"/>
      <c r="D17" s="115"/>
      <c r="E17" s="10">
        <f>SUM(E15:E16)*(1+'[1]Fane 13. Nøgletal'!C15)^3</f>
        <v>8137.4618529513564</v>
      </c>
      <c r="F17" s="11" t="s">
        <v>3</v>
      </c>
      <c r="G17" s="1"/>
    </row>
    <row r="18" spans="1:7" x14ac:dyDescent="0.35">
      <c r="A18" s="1"/>
      <c r="B18" s="1"/>
      <c r="C18" s="1"/>
      <c r="D18" s="1"/>
      <c r="E18" s="1"/>
      <c r="F18" s="1"/>
      <c r="G18" s="1"/>
    </row>
    <row r="19" spans="1:7" x14ac:dyDescent="0.35">
      <c r="A19" s="1"/>
      <c r="B19" s="113" t="s">
        <v>143</v>
      </c>
      <c r="C19" s="114"/>
      <c r="D19" s="114"/>
      <c r="E19" s="114"/>
      <c r="F19" s="115"/>
      <c r="G19" s="1"/>
    </row>
    <row r="20" spans="1:7" x14ac:dyDescent="0.35">
      <c r="A20" s="1"/>
      <c r="B20" s="97" t="s">
        <v>139</v>
      </c>
      <c r="C20" s="98"/>
      <c r="D20" s="99"/>
      <c r="E20" s="8">
        <v>7453.4839834536351</v>
      </c>
      <c r="F20" s="12" t="s">
        <v>3</v>
      </c>
      <c r="G20" s="1"/>
    </row>
    <row r="21" spans="1:7" x14ac:dyDescent="0.35">
      <c r="A21" s="1"/>
      <c r="B21" s="104" t="s">
        <v>43</v>
      </c>
      <c r="C21" s="105"/>
      <c r="D21" s="106"/>
      <c r="E21" s="8">
        <f>-E20*'[1]Fane 13. Nøgletal'!C20</f>
        <v>-126.7092277187118</v>
      </c>
      <c r="F21" s="12" t="s">
        <v>3</v>
      </c>
      <c r="G21" s="1"/>
    </row>
    <row r="22" spans="1:7" x14ac:dyDescent="0.35">
      <c r="A22" s="1"/>
      <c r="B22" s="113" t="s">
        <v>144</v>
      </c>
      <c r="C22" s="114"/>
      <c r="D22" s="115"/>
      <c r="E22" s="10">
        <f>SUM(E20:E21)*(1+'[1]Fane 13. Nøgletal'!C15)^4</f>
        <v>8427.1554949164256</v>
      </c>
      <c r="F22" s="11" t="s">
        <v>3</v>
      </c>
      <c r="G22" s="1"/>
    </row>
    <row r="23" spans="1:7" x14ac:dyDescent="0.35">
      <c r="A23" s="1"/>
      <c r="B23" s="1"/>
      <c r="C23" s="1"/>
      <c r="D23" s="1"/>
      <c r="E23" s="1"/>
      <c r="F23" s="1"/>
      <c r="G23" s="1"/>
    </row>
    <row r="24" spans="1:7" x14ac:dyDescent="0.35">
      <c r="A24" s="1"/>
      <c r="B24" s="113" t="s">
        <v>145</v>
      </c>
      <c r="C24" s="114"/>
      <c r="D24" s="114"/>
      <c r="E24" s="114"/>
      <c r="F24" s="115"/>
      <c r="G24" s="1"/>
    </row>
    <row r="25" spans="1:7" x14ac:dyDescent="0.35">
      <c r="A25" s="1"/>
      <c r="B25" s="97" t="s">
        <v>139</v>
      </c>
      <c r="C25" s="98"/>
      <c r="D25" s="99"/>
      <c r="E25" s="8">
        <v>7453.4839834536351</v>
      </c>
      <c r="F25" s="12" t="s">
        <v>3</v>
      </c>
      <c r="G25" s="1"/>
    </row>
    <row r="26" spans="1:7" x14ac:dyDescent="0.35">
      <c r="A26" s="1"/>
      <c r="B26" s="104" t="s">
        <v>43</v>
      </c>
      <c r="C26" s="105"/>
      <c r="D26" s="106"/>
      <c r="E26" s="8">
        <f>-E25*'[1]Fane 13. Nøgletal'!C20</f>
        <v>-126.7092277187118</v>
      </c>
      <c r="F26" s="12" t="s">
        <v>3</v>
      </c>
      <c r="G26" s="1"/>
    </row>
    <row r="27" spans="1:7" x14ac:dyDescent="0.35">
      <c r="A27" s="1"/>
      <c r="B27" s="113" t="s">
        <v>146</v>
      </c>
      <c r="C27" s="114"/>
      <c r="D27" s="115"/>
      <c r="E27" s="10">
        <f>SUM(E25:E26)*(1+'[1]Fane 13. Nøgletal'!C15)^5</f>
        <v>8727.1622305354504</v>
      </c>
      <c r="F27" s="11" t="s">
        <v>3</v>
      </c>
      <c r="G27" s="1"/>
    </row>
    <row r="28" spans="1:7" x14ac:dyDescent="0.35">
      <c r="A28" s="1"/>
      <c r="B28" s="39"/>
      <c r="C28" s="39"/>
      <c r="D28" s="39"/>
      <c r="E28" s="39"/>
      <c r="F28" s="40"/>
      <c r="G28" s="1"/>
    </row>
    <row r="29" spans="1:7" x14ac:dyDescent="0.35">
      <c r="A29" s="1"/>
      <c r="B29" s="41"/>
      <c r="C29" s="42"/>
      <c r="D29" s="43"/>
      <c r="E29" s="42"/>
      <c r="F29" s="43"/>
      <c r="G29" s="1"/>
    </row>
    <row r="30" spans="1:7" x14ac:dyDescent="0.35">
      <c r="A30" s="1"/>
      <c r="B30" s="41"/>
      <c r="C30" s="42"/>
      <c r="D30" s="43"/>
      <c r="E30" s="42"/>
      <c r="F30" s="43"/>
      <c r="G30" s="1"/>
    </row>
    <row r="31" spans="1:7" x14ac:dyDescent="0.35">
      <c r="A31" s="1"/>
      <c r="B31" s="44"/>
      <c r="C31" s="45"/>
      <c r="D31" s="46"/>
      <c r="E31" s="45"/>
      <c r="F31" s="46"/>
      <c r="G31" s="1"/>
    </row>
    <row r="32" spans="1:7" x14ac:dyDescent="0.35">
      <c r="A32" s="1"/>
      <c r="B32" s="44"/>
      <c r="C32" s="45"/>
      <c r="D32" s="46"/>
      <c r="E32" s="45"/>
      <c r="F32" s="46"/>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sheetData>
  <sheetProtection algorithmName="SHA-512" hashValue="cWhJ0ErAv58wRCfd9d03C13s+YeDTVIWoP2248Db25c7jXLGRYy3ITzyNeNObgX7oURPS5sWApiCoCIxsxU4mA==" saltValue="cpMzcZB7dXA2M8bQVFIf1g==" spinCount="100000" sheet="1" objects="1" scenarios="1"/>
  <mergeCells count="17">
    <mergeCell ref="B27:D27"/>
    <mergeCell ref="B14:F14"/>
    <mergeCell ref="B15:D15"/>
    <mergeCell ref="B16:D16"/>
    <mergeCell ref="B17:D17"/>
    <mergeCell ref="B19:F19"/>
    <mergeCell ref="B20:D20"/>
    <mergeCell ref="B21:D21"/>
    <mergeCell ref="B22:D22"/>
    <mergeCell ref="B24:F24"/>
    <mergeCell ref="B25:D25"/>
    <mergeCell ref="B26:D26"/>
    <mergeCell ref="B3:F5"/>
    <mergeCell ref="B9:F9"/>
    <mergeCell ref="B10:D10"/>
    <mergeCell ref="B11:D11"/>
    <mergeCell ref="B12:D1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45312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4" t="s">
        <v>167</v>
      </c>
      <c r="C3" s="94"/>
      <c r="D3" s="94"/>
      <c r="E3" s="94"/>
      <c r="F3" s="94"/>
      <c r="G3" s="1"/>
    </row>
    <row r="4" spans="1:7" ht="25.5" customHeight="1" x14ac:dyDescent="0.35">
      <c r="A4" s="1"/>
      <c r="B4" s="94"/>
      <c r="C4" s="94"/>
      <c r="D4" s="94"/>
      <c r="E4" s="94"/>
      <c r="F4" s="94"/>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13" t="s">
        <v>57</v>
      </c>
      <c r="C8" s="114"/>
      <c r="D8" s="114"/>
      <c r="E8" s="114"/>
      <c r="F8" s="115"/>
      <c r="G8" s="1"/>
    </row>
    <row r="9" spans="1:7" ht="15" customHeight="1" x14ac:dyDescent="0.35">
      <c r="A9" s="1"/>
      <c r="B9" s="73" t="s">
        <v>60</v>
      </c>
      <c r="C9" s="137" t="s">
        <v>9</v>
      </c>
      <c r="D9" s="138"/>
      <c r="E9" s="137" t="s">
        <v>23</v>
      </c>
      <c r="F9" s="138"/>
      <c r="G9" s="1"/>
    </row>
    <row r="10" spans="1:7" x14ac:dyDescent="0.35">
      <c r="A10" s="1"/>
      <c r="B10" s="20" t="s">
        <v>126</v>
      </c>
      <c r="C10" s="8">
        <v>0</v>
      </c>
      <c r="D10" s="12" t="s">
        <v>3</v>
      </c>
      <c r="E10" s="8">
        <v>0</v>
      </c>
      <c r="F10" s="12" t="s">
        <v>3</v>
      </c>
      <c r="G10" s="1"/>
    </row>
    <row r="11" spans="1:7" ht="28.5" customHeight="1" x14ac:dyDescent="0.35">
      <c r="A11" s="1"/>
      <c r="B11" s="18" t="s">
        <v>67</v>
      </c>
      <c r="C11" s="10">
        <f>SUM(C10:C10)</f>
        <v>0</v>
      </c>
      <c r="D11" s="11" t="s">
        <v>3</v>
      </c>
      <c r="E11" s="10">
        <f>SUM(E10:E10)</f>
        <v>0</v>
      </c>
      <c r="F11" s="11" t="s">
        <v>3</v>
      </c>
      <c r="G11" s="1"/>
    </row>
    <row r="12" spans="1:7" ht="27" customHeight="1" x14ac:dyDescent="0.35">
      <c r="A12" s="1"/>
      <c r="B12" s="18" t="s">
        <v>98</v>
      </c>
      <c r="C12" s="10">
        <f>C11*(1+'Fane 13. Nøgletal'!C15)</f>
        <v>0</v>
      </c>
      <c r="D12" s="11" t="s">
        <v>3</v>
      </c>
      <c r="E12" s="10">
        <f>E11*(1+'Fane 13. Nøgletal'!C15)</f>
        <v>0</v>
      </c>
      <c r="F12" s="11" t="s">
        <v>3</v>
      </c>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sheetData>
  <sheetProtection algorithmName="SHA-512" hashValue="MS7WAGBQoEmnRbPdbN33hrQiXxqCI4iJnrpIg/9tyDfhe/okCZddOuQWhoiOrdPkMCdiowxZOfk6dgtmzerOWQ==" saltValue="j5kmxSdqDVdZpXK0usD6U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8.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4" t="s">
        <v>168</v>
      </c>
      <c r="C3" s="94"/>
      <c r="D3" s="94"/>
      <c r="E3" s="94"/>
      <c r="F3" s="94"/>
      <c r="G3" s="1"/>
    </row>
    <row r="4" spans="1:7" ht="25.5" customHeight="1" x14ac:dyDescent="0.35">
      <c r="A4" s="1"/>
      <c r="B4" s="94"/>
      <c r="C4" s="94"/>
      <c r="D4" s="94"/>
      <c r="E4" s="94"/>
      <c r="F4" s="94"/>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3" t="s">
        <v>39</v>
      </c>
      <c r="C9" s="114"/>
      <c r="D9" s="114"/>
      <c r="E9" s="114"/>
      <c r="F9" s="115"/>
      <c r="G9" s="1"/>
    </row>
    <row r="10" spans="1:7" x14ac:dyDescent="0.35">
      <c r="A10" s="1"/>
      <c r="B10" s="73" t="s">
        <v>15</v>
      </c>
      <c r="C10" s="73" t="s">
        <v>9</v>
      </c>
      <c r="D10" s="74"/>
      <c r="E10" s="73" t="s">
        <v>23</v>
      </c>
      <c r="F10" s="74"/>
      <c r="G10" s="1"/>
    </row>
    <row r="11" spans="1:7" x14ac:dyDescent="0.35">
      <c r="A11" s="1"/>
      <c r="B11" s="20" t="s">
        <v>127</v>
      </c>
      <c r="C11" s="8">
        <v>0</v>
      </c>
      <c r="D11" s="12" t="s">
        <v>3</v>
      </c>
      <c r="E11" s="8">
        <v>0</v>
      </c>
      <c r="F11" s="12" t="s">
        <v>3</v>
      </c>
      <c r="G11" s="1"/>
    </row>
    <row r="12" spans="1:7" x14ac:dyDescent="0.35">
      <c r="A12" s="1"/>
      <c r="B12" s="75" t="s">
        <v>103</v>
      </c>
      <c r="C12" s="10">
        <f>SUM(C11:C11)</f>
        <v>0</v>
      </c>
      <c r="D12" s="11" t="s">
        <v>3</v>
      </c>
      <c r="E12" s="10">
        <f>SUM(E11:E11)</f>
        <v>0</v>
      </c>
      <c r="F12" s="11" t="s">
        <v>3</v>
      </c>
      <c r="G12" s="1"/>
    </row>
    <row r="13" spans="1:7" x14ac:dyDescent="0.35">
      <c r="A13" s="1"/>
      <c r="B13" s="75" t="s">
        <v>37</v>
      </c>
      <c r="C13" s="10">
        <f>C12*(1+'Fane 13. Nøgletal'!C15)</f>
        <v>0</v>
      </c>
      <c r="D13" s="11" t="s">
        <v>3</v>
      </c>
      <c r="E13" s="10">
        <f>E12*(1+'Fane 13. Nøgletal'!C15)</f>
        <v>0</v>
      </c>
      <c r="F13" s="11" t="s">
        <v>3</v>
      </c>
      <c r="G13" s="1"/>
    </row>
    <row r="14" spans="1:7" x14ac:dyDescent="0.35">
      <c r="A14" s="1"/>
      <c r="B14" s="1"/>
      <c r="C14" s="1"/>
      <c r="D14" s="1"/>
      <c r="E14" s="1"/>
      <c r="F14" s="1"/>
      <c r="G14" s="1"/>
    </row>
    <row r="15" spans="1:7" x14ac:dyDescent="0.35">
      <c r="A15" s="1"/>
      <c r="B15" s="136"/>
      <c r="C15" s="136"/>
      <c r="D15" s="136"/>
      <c r="E15" s="136"/>
      <c r="F15" s="136"/>
      <c r="G15" s="1"/>
    </row>
    <row r="16" spans="1:7" x14ac:dyDescent="0.35">
      <c r="A16" s="1"/>
      <c r="B16" s="40"/>
      <c r="C16" s="40"/>
      <c r="D16" s="40"/>
      <c r="E16" s="40"/>
      <c r="F16" s="40"/>
      <c r="G16" s="1"/>
    </row>
    <row r="17" spans="1:7" x14ac:dyDescent="0.35">
      <c r="A17" s="1"/>
      <c r="B17" s="41"/>
      <c r="C17" s="47"/>
      <c r="D17" s="43"/>
      <c r="E17" s="47"/>
      <c r="F17" s="43"/>
      <c r="G17" s="1"/>
    </row>
    <row r="18" spans="1:7" x14ac:dyDescent="0.35">
      <c r="A18" s="1"/>
      <c r="B18" s="44"/>
      <c r="C18" s="45"/>
      <c r="D18" s="46"/>
      <c r="E18" s="45"/>
      <c r="F18" s="46"/>
      <c r="G18" s="1"/>
    </row>
    <row r="19" spans="1:7" x14ac:dyDescent="0.35">
      <c r="A19" s="1"/>
      <c r="B19" s="44"/>
      <c r="C19" s="45"/>
      <c r="D19" s="46"/>
      <c r="E19" s="45"/>
      <c r="F19" s="46"/>
      <c r="G19" s="1"/>
    </row>
    <row r="20" spans="1:7" x14ac:dyDescent="0.35">
      <c r="A20" s="1"/>
      <c r="B20" s="38"/>
      <c r="C20" s="38"/>
      <c r="D20" s="38"/>
      <c r="E20" s="38"/>
      <c r="F20" s="38"/>
      <c r="G20" s="1"/>
    </row>
    <row r="21" spans="1:7" x14ac:dyDescent="0.35">
      <c r="A21" s="1"/>
      <c r="B21" s="136"/>
      <c r="C21" s="136"/>
      <c r="D21" s="136"/>
      <c r="E21" s="136"/>
      <c r="F21" s="136"/>
      <c r="G21" s="1"/>
    </row>
    <row r="22" spans="1:7" x14ac:dyDescent="0.35">
      <c r="A22" s="1"/>
      <c r="B22" s="40"/>
      <c r="C22" s="40"/>
      <c r="D22" s="40"/>
      <c r="E22" s="40"/>
      <c r="F22" s="40"/>
      <c r="G22" s="1"/>
    </row>
    <row r="23" spans="1:7" x14ac:dyDescent="0.35">
      <c r="A23" s="1"/>
      <c r="B23" s="41"/>
      <c r="C23" s="47"/>
      <c r="D23" s="43"/>
      <c r="E23" s="47"/>
      <c r="F23" s="43"/>
      <c r="G23" s="1"/>
    </row>
    <row r="24" spans="1:7" x14ac:dyDescent="0.35">
      <c r="A24" s="1"/>
      <c r="B24" s="44"/>
      <c r="C24" s="45"/>
      <c r="D24" s="46"/>
      <c r="E24" s="45"/>
      <c r="F24" s="46"/>
      <c r="G24" s="1"/>
    </row>
    <row r="25" spans="1:7" x14ac:dyDescent="0.35">
      <c r="A25" s="1"/>
      <c r="B25" s="44"/>
      <c r="C25" s="45"/>
      <c r="D25" s="46"/>
      <c r="E25" s="45"/>
      <c r="F25" s="46"/>
      <c r="G25" s="1"/>
    </row>
    <row r="26" spans="1:7" x14ac:dyDescent="0.35">
      <c r="A26" s="1"/>
      <c r="B26" s="38"/>
      <c r="C26" s="38"/>
      <c r="D26" s="38"/>
      <c r="E26" s="38"/>
      <c r="F26" s="38"/>
      <c r="G26" s="1"/>
    </row>
    <row r="27" spans="1:7" x14ac:dyDescent="0.35">
      <c r="A27" s="1"/>
      <c r="B27" s="136"/>
      <c r="C27" s="136"/>
      <c r="D27" s="136"/>
      <c r="E27" s="136"/>
      <c r="F27" s="136"/>
      <c r="G27" s="1"/>
    </row>
    <row r="28" spans="1:7" x14ac:dyDescent="0.35">
      <c r="A28" s="1"/>
      <c r="B28" s="40"/>
      <c r="C28" s="40"/>
      <c r="D28" s="40"/>
      <c r="E28" s="40"/>
      <c r="F28" s="40"/>
      <c r="G28" s="1"/>
    </row>
    <row r="29" spans="1:7" x14ac:dyDescent="0.35">
      <c r="A29" s="1"/>
      <c r="B29" s="41"/>
      <c r="C29" s="47"/>
      <c r="D29" s="43"/>
      <c r="E29" s="47"/>
      <c r="F29" s="43"/>
      <c r="G29" s="1"/>
    </row>
    <row r="30" spans="1:7" x14ac:dyDescent="0.35">
      <c r="A30" s="1"/>
      <c r="B30" s="44"/>
      <c r="C30" s="45"/>
      <c r="D30" s="46"/>
      <c r="E30" s="45"/>
      <c r="F30" s="46"/>
      <c r="G30" s="1"/>
    </row>
    <row r="31" spans="1:7" x14ac:dyDescent="0.35">
      <c r="A31" s="1"/>
      <c r="B31" s="44"/>
      <c r="C31" s="45"/>
      <c r="D31" s="46"/>
      <c r="E31" s="45"/>
      <c r="F31" s="46"/>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sheetData>
  <sheetProtection algorithmName="SHA-512" hashValue="wXG6YjM2jusO+M5vdwEMGDHuHqMmk7AO1Byup5uefuxSJzc2t82FZwjyWl3/j8Vm15XBHo4Na7D5zrhomWv35Q==" saltValue="f3thu8r7yO2t+2DkBOmx7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94" t="s">
        <v>169</v>
      </c>
      <c r="C3" s="94"/>
      <c r="D3" s="1"/>
    </row>
    <row r="4" spans="1:4" ht="25.5" customHeight="1" x14ac:dyDescent="0.35">
      <c r="A4" s="1"/>
      <c r="B4" s="94"/>
      <c r="C4" s="94"/>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5" t="s">
        <v>12</v>
      </c>
      <c r="C8" s="76"/>
      <c r="D8" s="1"/>
    </row>
    <row r="9" spans="1:4" x14ac:dyDescent="0.35">
      <c r="A9" s="1"/>
      <c r="B9" s="23" t="s">
        <v>70</v>
      </c>
      <c r="C9" s="21">
        <v>1.2699999999999999E-2</v>
      </c>
      <c r="D9" s="1"/>
    </row>
    <row r="10" spans="1:4" x14ac:dyDescent="0.35">
      <c r="A10" s="1"/>
      <c r="B10" s="23" t="s">
        <v>68</v>
      </c>
      <c r="C10" s="21">
        <v>1.7500000000000002E-2</v>
      </c>
      <c r="D10" s="1"/>
    </row>
    <row r="11" spans="1:4" x14ac:dyDescent="0.35">
      <c r="A11" s="1"/>
      <c r="B11" s="23" t="s">
        <v>20</v>
      </c>
      <c r="C11" s="21">
        <v>1.6899999999999998E-2</v>
      </c>
      <c r="D11" s="1"/>
    </row>
    <row r="12" spans="1:4" x14ac:dyDescent="0.35">
      <c r="A12" s="1"/>
      <c r="B12" s="23" t="s">
        <v>30</v>
      </c>
      <c r="C12" s="21">
        <v>1.9699999999999999E-2</v>
      </c>
      <c r="D12" s="1"/>
    </row>
    <row r="13" spans="1:4" x14ac:dyDescent="0.35">
      <c r="A13" s="1"/>
      <c r="B13" s="25" t="s">
        <v>58</v>
      </c>
      <c r="C13" s="26">
        <v>1.2200000000000001E-2</v>
      </c>
      <c r="D13" s="1"/>
    </row>
    <row r="14" spans="1:4" x14ac:dyDescent="0.35">
      <c r="A14" s="1"/>
      <c r="B14" s="25" t="s">
        <v>69</v>
      </c>
      <c r="C14" s="26">
        <v>3.3E-3</v>
      </c>
      <c r="D14" s="1"/>
    </row>
    <row r="15" spans="1:4" x14ac:dyDescent="0.35">
      <c r="A15" s="1"/>
      <c r="B15" s="25" t="s">
        <v>99</v>
      </c>
      <c r="C15" s="26">
        <v>3.56E-2</v>
      </c>
      <c r="D15" s="1"/>
    </row>
    <row r="16" spans="1:4" x14ac:dyDescent="0.35">
      <c r="A16" s="1"/>
      <c r="B16" s="75"/>
      <c r="C16" s="76"/>
      <c r="D16" s="1"/>
    </row>
    <row r="17" spans="1:4" x14ac:dyDescent="0.35">
      <c r="A17" s="1"/>
      <c r="B17" s="1"/>
      <c r="C17" s="1"/>
      <c r="D17" s="1"/>
    </row>
    <row r="18" spans="1:4" x14ac:dyDescent="0.35">
      <c r="A18" s="1"/>
      <c r="B18" s="1"/>
      <c r="C18" s="1"/>
      <c r="D18" s="1"/>
    </row>
    <row r="19" spans="1:4" x14ac:dyDescent="0.35">
      <c r="A19" s="1"/>
      <c r="B19" s="75" t="s">
        <v>43</v>
      </c>
      <c r="C19" s="76"/>
      <c r="D19" s="1"/>
    </row>
    <row r="20" spans="1:4" x14ac:dyDescent="0.35">
      <c r="A20" s="1"/>
      <c r="B20" s="23" t="s">
        <v>47</v>
      </c>
      <c r="C20" s="21">
        <v>1.7000000000000001E-2</v>
      </c>
      <c r="D20" s="1"/>
    </row>
    <row r="21" spans="1:4" x14ac:dyDescent="0.35">
      <c r="A21" s="1"/>
      <c r="B21" s="139"/>
      <c r="C21" s="140"/>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0"/>
      <c r="B50" s="30"/>
      <c r="C50" s="30"/>
      <c r="D50" s="30"/>
    </row>
    <row r="51" spans="1:4" x14ac:dyDescent="0.35">
      <c r="A51" s="30"/>
      <c r="B51" s="30"/>
      <c r="C51" s="30"/>
      <c r="D51" s="30"/>
    </row>
  </sheetData>
  <sheetProtection algorithmName="SHA-512" hashValue="DglyeAtawzquXb+vMP2Mwi9MA2RW0ddgMH+Kg5JZPwjrfOaC1IHOfcFnztz/IXXUvOQtitpG2+wz7bIeS5tA0A==" saltValue="7ZSy/+hz9yRD31JWo2lwK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51"/>
  <sheetViews>
    <sheetView showGridLines="0" view="pageLayout" zoomScaleNormal="100" workbookViewId="0"/>
  </sheetViews>
  <sheetFormatPr defaultColWidth="9" defaultRowHeight="14.5" x14ac:dyDescent="0.35"/>
  <cols>
    <col min="1" max="1" width="5.1796875" style="2" customWidth="1"/>
    <col min="2" max="2" width="50.54296875" style="2" customWidth="1"/>
    <col min="3" max="3" width="9.1796875" style="2" hidden="1" customWidth="1"/>
    <col min="4" max="4" width="27.1796875" style="2" hidden="1" customWidth="1"/>
    <col min="5" max="5" width="13.54296875" style="2" customWidth="1"/>
    <col min="6" max="6" width="3.81640625" style="2" customWidth="1"/>
    <col min="7" max="7" width="12.269531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81</v>
      </c>
      <c r="C3" s="92"/>
      <c r="D3" s="92"/>
      <c r="E3" s="92"/>
      <c r="F3" s="92"/>
      <c r="G3" s="1"/>
    </row>
    <row r="4" spans="1:7" ht="15" customHeight="1" x14ac:dyDescent="0.35">
      <c r="A4" s="1"/>
      <c r="B4" s="92"/>
      <c r="C4" s="92"/>
      <c r="D4" s="92"/>
      <c r="E4" s="92"/>
      <c r="F4" s="9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6" t="s">
        <v>11</v>
      </c>
      <c r="C8" s="56"/>
      <c r="D8" s="56"/>
      <c r="E8" s="56"/>
      <c r="F8" s="56"/>
      <c r="G8" s="1"/>
    </row>
    <row r="9" spans="1:7" x14ac:dyDescent="0.35">
      <c r="A9" s="1"/>
      <c r="B9" s="64" t="s">
        <v>54</v>
      </c>
      <c r="C9" s="64"/>
      <c r="D9" s="64"/>
      <c r="E9" s="7">
        <f>'Fane 3. Omkostninger i ØR2022'!E16</f>
        <v>1518449.616012617</v>
      </c>
      <c r="F9" s="64" t="s">
        <v>3</v>
      </c>
      <c r="G9" s="1"/>
    </row>
    <row r="10" spans="1:7" ht="17.25" customHeight="1" x14ac:dyDescent="0.35">
      <c r="A10" s="1"/>
      <c r="B10" s="24" t="s">
        <v>49</v>
      </c>
      <c r="C10" s="64"/>
      <c r="D10" s="64"/>
      <c r="E10" s="7">
        <f>'Fane 9.1. Varige tillæg'!C13+'Fane 9.1. Varige tillæg'!E13</f>
        <v>0</v>
      </c>
      <c r="F10" s="64" t="s">
        <v>3</v>
      </c>
      <c r="G10" s="1"/>
    </row>
    <row r="11" spans="1:7" ht="17.25" customHeight="1" x14ac:dyDescent="0.35">
      <c r="A11" s="1"/>
      <c r="B11" s="24" t="s">
        <v>51</v>
      </c>
      <c r="C11" s="64"/>
      <c r="D11" s="64"/>
      <c r="E11" s="8">
        <f>-('Fane 12. Bortfald'!C13+'Fane 12. Bortfald'!E13)</f>
        <v>0</v>
      </c>
      <c r="F11" s="64" t="s">
        <v>3</v>
      </c>
      <c r="G11" s="1"/>
    </row>
    <row r="12" spans="1:7" ht="17.25" customHeight="1" x14ac:dyDescent="0.35">
      <c r="A12" s="1"/>
      <c r="B12" s="24" t="s">
        <v>53</v>
      </c>
      <c r="C12" s="64"/>
      <c r="D12" s="64"/>
      <c r="E12" s="8">
        <f>'Fane 11. Tilknyttet virksomhed'!C12+'Fane 11. Tilknyttet virksomhed'!E12</f>
        <v>0</v>
      </c>
      <c r="F12" s="64" t="s">
        <v>3</v>
      </c>
      <c r="G12" s="1"/>
    </row>
    <row r="13" spans="1:7" ht="17.25" customHeight="1" x14ac:dyDescent="0.35">
      <c r="A13" s="1"/>
      <c r="B13" s="24" t="s">
        <v>16</v>
      </c>
      <c r="C13" s="64"/>
      <c r="D13" s="64"/>
      <c r="E13" s="8">
        <f>SUM(E9:E12)*'Fane 13. Nøgletal'!C15</f>
        <v>54056.806330049163</v>
      </c>
      <c r="F13" s="64" t="s">
        <v>3</v>
      </c>
      <c r="G13" s="1"/>
    </row>
    <row r="14" spans="1:7" ht="17.25" customHeight="1" x14ac:dyDescent="0.35">
      <c r="A14" s="1"/>
      <c r="B14" s="24" t="s">
        <v>43</v>
      </c>
      <c r="C14" s="64"/>
      <c r="D14" s="64"/>
      <c r="E14" s="8">
        <f>-SUM(E9,E10:E13)*'Fane 13. Nøgletal'!C20</f>
        <v>-26732.609179825326</v>
      </c>
      <c r="F14" s="64" t="s">
        <v>3</v>
      </c>
      <c r="G14" s="1"/>
    </row>
    <row r="15" spans="1:7" ht="15" customHeight="1" x14ac:dyDescent="0.35">
      <c r="A15" s="1"/>
      <c r="B15" s="69" t="s">
        <v>18</v>
      </c>
      <c r="C15" s="28"/>
      <c r="D15" s="28"/>
      <c r="E15" s="9">
        <f>SUM(E9,E10:E14)</f>
        <v>1545773.8131628409</v>
      </c>
      <c r="F15" s="57" t="s">
        <v>3</v>
      </c>
      <c r="G15" s="1"/>
    </row>
    <row r="16" spans="1:7" ht="15" customHeight="1" x14ac:dyDescent="0.35">
      <c r="A16" s="1"/>
      <c r="B16" s="56" t="s">
        <v>10</v>
      </c>
      <c r="C16" s="56"/>
      <c r="D16" s="56"/>
      <c r="E16" s="56"/>
      <c r="F16" s="56"/>
      <c r="G16" s="1"/>
    </row>
    <row r="17" spans="1:7" ht="15" customHeight="1" x14ac:dyDescent="0.35">
      <c r="A17" s="1"/>
      <c r="B17" s="57" t="s">
        <v>10</v>
      </c>
      <c r="C17" s="57"/>
      <c r="D17" s="57"/>
      <c r="E17" s="9">
        <f>'Fane 4. Ikke-påvirkelige omk.'!C13</f>
        <v>11663.082540000001</v>
      </c>
      <c r="F17" s="57" t="s">
        <v>3</v>
      </c>
      <c r="G17" s="1"/>
    </row>
    <row r="18" spans="1:7" ht="15" customHeight="1" x14ac:dyDescent="0.35">
      <c r="A18" s="1"/>
      <c r="B18" s="56" t="s">
        <v>149</v>
      </c>
      <c r="C18" s="56"/>
      <c r="D18" s="56"/>
      <c r="E18" s="56"/>
      <c r="F18" s="56"/>
      <c r="G18" s="1"/>
    </row>
    <row r="19" spans="1:7" ht="15" customHeight="1" x14ac:dyDescent="0.35">
      <c r="A19" s="1"/>
      <c r="B19" s="69" t="s">
        <v>149</v>
      </c>
      <c r="C19" s="28"/>
      <c r="D19" s="28"/>
      <c r="E19" s="9">
        <f>+'Fane 10. Periodevise driftsomk.'!E12</f>
        <v>7857.7267795976786</v>
      </c>
      <c r="F19" s="57" t="s">
        <v>3</v>
      </c>
      <c r="G19" s="1"/>
    </row>
    <row r="20" spans="1:7" ht="15" customHeight="1" x14ac:dyDescent="0.35">
      <c r="A20" s="1"/>
      <c r="B20" s="56" t="s">
        <v>35</v>
      </c>
      <c r="C20" s="56"/>
      <c r="D20" s="56"/>
      <c r="E20" s="56"/>
      <c r="F20" s="56"/>
      <c r="G20" s="1"/>
    </row>
    <row r="21" spans="1:7" ht="15" customHeight="1" x14ac:dyDescent="0.35">
      <c r="A21" s="1"/>
      <c r="B21" s="24" t="s">
        <v>32</v>
      </c>
      <c r="C21" s="64"/>
      <c r="D21" s="64"/>
      <c r="E21" s="8">
        <f>'Fane 9.2. Engangstillæg'!C11</f>
        <v>0</v>
      </c>
      <c r="F21" s="64" t="s">
        <v>3</v>
      </c>
      <c r="G21" s="1"/>
    </row>
    <row r="22" spans="1:7" x14ac:dyDescent="0.35">
      <c r="A22" s="1"/>
      <c r="B22" s="24" t="s">
        <v>33</v>
      </c>
      <c r="C22" s="64"/>
      <c r="D22" s="64"/>
      <c r="E22" s="8">
        <f>'Fane 9.2. Engangstillæg'!E11</f>
        <v>0</v>
      </c>
      <c r="F22" s="64" t="s">
        <v>3</v>
      </c>
      <c r="G22" s="1"/>
    </row>
    <row r="23" spans="1:7" x14ac:dyDescent="0.35">
      <c r="A23" s="1"/>
      <c r="B23" s="24" t="s">
        <v>105</v>
      </c>
      <c r="C23" s="64"/>
      <c r="D23" s="64"/>
      <c r="E23" s="8">
        <f>-SUM(E21:E22)*'Fane 13. Nøgletal'!C20</f>
        <v>0</v>
      </c>
      <c r="F23" s="64" t="s">
        <v>3</v>
      </c>
      <c r="G23" s="1"/>
    </row>
    <row r="24" spans="1:7" ht="15" customHeight="1" x14ac:dyDescent="0.35">
      <c r="A24" s="1"/>
      <c r="B24" s="69" t="s">
        <v>36</v>
      </c>
      <c r="C24" s="28"/>
      <c r="D24" s="28"/>
      <c r="E24" s="9">
        <f>SUM(E21:E23)</f>
        <v>0</v>
      </c>
      <c r="F24" s="57" t="s">
        <v>3</v>
      </c>
      <c r="G24" s="1"/>
    </row>
    <row r="25" spans="1:7" x14ac:dyDescent="0.35">
      <c r="A25" s="1"/>
      <c r="B25" s="56" t="s">
        <v>61</v>
      </c>
      <c r="C25" s="56"/>
      <c r="D25" s="56"/>
      <c r="E25" s="56"/>
      <c r="F25" s="56"/>
      <c r="G25" s="1"/>
    </row>
    <row r="26" spans="1:7" x14ac:dyDescent="0.35">
      <c r="A26" s="1"/>
      <c r="B26" s="69" t="s">
        <v>62</v>
      </c>
      <c r="C26" s="31"/>
      <c r="D26" s="31"/>
      <c r="E26" s="9">
        <f>'Fane 5. Kontrol af ØR2021'!E30</f>
        <v>-63154.030004326203</v>
      </c>
      <c r="F26" s="57" t="s">
        <v>3</v>
      </c>
      <c r="G26" s="1"/>
    </row>
    <row r="27" spans="1:7" x14ac:dyDescent="0.35">
      <c r="A27" s="1"/>
      <c r="B27" s="56" t="s">
        <v>147</v>
      </c>
      <c r="C27" s="56"/>
      <c r="D27" s="56"/>
      <c r="E27" s="52"/>
      <c r="F27" s="56"/>
      <c r="G27" s="1"/>
    </row>
    <row r="28" spans="1:7" x14ac:dyDescent="0.35">
      <c r="A28" s="1"/>
      <c r="B28" s="57" t="s">
        <v>148</v>
      </c>
      <c r="C28" s="57"/>
      <c r="D28" s="57"/>
      <c r="E28" s="9">
        <f>+'Fane 6. Korrektion af ØR2021'!E17</f>
        <v>-36119.126954614345</v>
      </c>
      <c r="F28" s="57" t="s">
        <v>3</v>
      </c>
      <c r="G28" s="1"/>
    </row>
    <row r="29" spans="1:7" x14ac:dyDescent="0.35">
      <c r="A29" s="1"/>
      <c r="B29" s="56" t="s">
        <v>74</v>
      </c>
      <c r="C29" s="56"/>
      <c r="D29" s="56"/>
      <c r="E29" s="56"/>
      <c r="F29" s="56"/>
      <c r="G29" s="1"/>
    </row>
    <row r="30" spans="1:7" x14ac:dyDescent="0.35">
      <c r="A30" s="1"/>
      <c r="B30" s="57" t="s">
        <v>75</v>
      </c>
      <c r="C30" s="57"/>
      <c r="D30" s="57"/>
      <c r="E30" s="9">
        <f>'Fane 7. Skattesagen'!G12</f>
        <v>0</v>
      </c>
      <c r="F30" s="57" t="s">
        <v>3</v>
      </c>
      <c r="G30" s="1"/>
    </row>
    <row r="31" spans="1:7" x14ac:dyDescent="0.35">
      <c r="A31" s="1"/>
      <c r="B31" s="56" t="s">
        <v>38</v>
      </c>
      <c r="C31" s="56"/>
      <c r="D31" s="56"/>
      <c r="E31" s="10">
        <f>SUM(E15,E17,E24,E19,E28,E26,E30)</f>
        <v>1466021.4655234979</v>
      </c>
      <c r="F31" s="11" t="s">
        <v>3</v>
      </c>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30"/>
      <c r="B50" s="30"/>
      <c r="C50" s="30"/>
      <c r="D50" s="30"/>
      <c r="E50" s="30"/>
      <c r="F50" s="30"/>
      <c r="G50" s="30"/>
    </row>
    <row r="51" spans="1:7" x14ac:dyDescent="0.35">
      <c r="A51" s="30"/>
      <c r="B51" s="30"/>
      <c r="C51" s="30"/>
      <c r="D51" s="30"/>
      <c r="E51" s="30"/>
      <c r="F51" s="30"/>
    </row>
  </sheetData>
  <sheetProtection algorithmName="SHA-512" hashValue="1x0R9B49XrpRzNulZQI2Di4ru6pi0OCv+eyGWFUG9ISx6XuUrFfB1jlZKoRsc7c0bTbusCWGkY+KG2K5p/7XuQ==" saltValue="Fur3p923AWmvRRaLGIvqp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6"/>
  <sheetViews>
    <sheetView showGridLines="0" view="pageLayout" zoomScaleNormal="100" workbookViewId="0"/>
  </sheetViews>
  <sheetFormatPr defaultColWidth="9.1796875" defaultRowHeight="14.5" x14ac:dyDescent="0.35"/>
  <cols>
    <col min="1" max="1" width="5.1796875" style="2" customWidth="1"/>
    <col min="2" max="2" width="59.81640625" style="2" customWidth="1"/>
    <col min="3" max="3" width="0" style="2" hidden="1" customWidth="1"/>
    <col min="4" max="4" width="27" style="2" hidden="1" customWidth="1"/>
    <col min="5" max="5" width="10.26953125" style="2" customWidth="1"/>
    <col min="6" max="6" width="3.26953125" style="2" customWidth="1"/>
    <col min="7" max="7" width="8.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82</v>
      </c>
      <c r="C3" s="92"/>
      <c r="D3" s="92"/>
      <c r="E3" s="92"/>
      <c r="F3" s="92"/>
      <c r="G3" s="1"/>
    </row>
    <row r="4" spans="1:7" ht="15" customHeight="1" x14ac:dyDescent="0.35">
      <c r="A4" s="1"/>
      <c r="B4" s="92"/>
      <c r="C4" s="92"/>
      <c r="D4" s="92"/>
      <c r="E4" s="92"/>
      <c r="F4" s="92"/>
      <c r="G4" s="1"/>
    </row>
    <row r="5" spans="1:7" x14ac:dyDescent="0.35">
      <c r="A5" s="1"/>
      <c r="B5" s="93"/>
      <c r="C5" s="93"/>
      <c r="D5" s="93"/>
      <c r="E5" s="93"/>
      <c r="F5" s="93"/>
      <c r="G5" s="1"/>
    </row>
    <row r="6" spans="1:7" x14ac:dyDescent="0.35">
      <c r="A6" s="1"/>
      <c r="B6" s="1"/>
      <c r="C6" s="1"/>
      <c r="D6" s="1"/>
      <c r="E6" s="1"/>
      <c r="F6" s="1"/>
      <c r="G6" s="1"/>
    </row>
    <row r="7" spans="1:7" x14ac:dyDescent="0.35">
      <c r="A7" s="1"/>
      <c r="B7" s="56" t="s">
        <v>11</v>
      </c>
      <c r="C7" s="56"/>
      <c r="D7" s="56"/>
      <c r="E7" s="56"/>
      <c r="F7" s="56"/>
      <c r="G7" s="1"/>
    </row>
    <row r="8" spans="1:7" ht="15" customHeight="1" x14ac:dyDescent="0.35">
      <c r="A8" s="1"/>
      <c r="B8" s="64" t="s">
        <v>55</v>
      </c>
      <c r="C8" s="64"/>
      <c r="D8" s="64"/>
      <c r="E8" s="7">
        <f>'Fane 2.1. Økonomisk ramme 2023'!E15</f>
        <v>1545773.8131628409</v>
      </c>
      <c r="F8" s="64" t="s">
        <v>3</v>
      </c>
      <c r="G8" s="1"/>
    </row>
    <row r="9" spans="1:7" ht="15" customHeight="1" x14ac:dyDescent="0.35">
      <c r="A9" s="1"/>
      <c r="B9" s="55" t="s">
        <v>16</v>
      </c>
      <c r="C9" s="64"/>
      <c r="D9" s="64"/>
      <c r="E9" s="8">
        <f>SUM(E8:E8)*'Fane 13. Nøgletal'!C15</f>
        <v>55029.547748597135</v>
      </c>
      <c r="F9" s="64" t="s">
        <v>3</v>
      </c>
      <c r="G9" s="1"/>
    </row>
    <row r="10" spans="1:7" ht="15" customHeight="1" x14ac:dyDescent="0.35">
      <c r="A10" s="1"/>
      <c r="B10" s="55" t="s">
        <v>43</v>
      </c>
      <c r="C10" s="64"/>
      <c r="D10" s="64"/>
      <c r="E10" s="8">
        <f>-SUM(E8:E9)*'Fane 13. Nøgletal'!C20</f>
        <v>-27213.65713549445</v>
      </c>
      <c r="F10" s="64" t="s">
        <v>3</v>
      </c>
      <c r="G10" s="1"/>
    </row>
    <row r="11" spans="1:7" ht="15" customHeight="1" x14ac:dyDescent="0.35">
      <c r="A11" s="1"/>
      <c r="B11" s="28" t="s">
        <v>18</v>
      </c>
      <c r="C11" s="28"/>
      <c r="D11" s="28"/>
      <c r="E11" s="9">
        <f>SUM(E8:E10)</f>
        <v>1573589.7037759435</v>
      </c>
      <c r="F11" s="57" t="s">
        <v>3</v>
      </c>
      <c r="G11" s="1"/>
    </row>
    <row r="12" spans="1:7" x14ac:dyDescent="0.35">
      <c r="A12" s="1"/>
      <c r="B12" s="56" t="s">
        <v>10</v>
      </c>
      <c r="C12" s="56"/>
      <c r="D12" s="56"/>
      <c r="E12" s="56"/>
      <c r="F12" s="56"/>
      <c r="G12" s="1"/>
    </row>
    <row r="13" spans="1:7" ht="15" customHeight="1" x14ac:dyDescent="0.35">
      <c r="A13" s="1"/>
      <c r="B13" s="57" t="s">
        <v>10</v>
      </c>
      <c r="C13" s="57"/>
      <c r="D13" s="57"/>
      <c r="E13" s="9">
        <f>'Fane 4. Ikke-påvirkelige omk.'!C13*(1+'Fane 13. Nøgletal'!C15)</f>
        <v>12078.288278424003</v>
      </c>
      <c r="F13" s="57" t="s">
        <v>3</v>
      </c>
      <c r="G13" s="1"/>
    </row>
    <row r="14" spans="1:7" ht="15" customHeight="1" x14ac:dyDescent="0.35">
      <c r="A14" s="1"/>
      <c r="B14" s="56" t="s">
        <v>149</v>
      </c>
      <c r="C14" s="56"/>
      <c r="D14" s="56"/>
      <c r="E14" s="56"/>
      <c r="F14" s="56"/>
      <c r="G14" s="1"/>
    </row>
    <row r="15" spans="1:7" ht="15" customHeight="1" x14ac:dyDescent="0.35">
      <c r="A15" s="1"/>
      <c r="B15" s="69" t="s">
        <v>149</v>
      </c>
      <c r="C15" s="28"/>
      <c r="D15" s="28"/>
      <c r="E15" s="9">
        <f>'Fane 10. Periodevise driftsomk.'!E17</f>
        <v>8137.4618529513564</v>
      </c>
      <c r="F15" s="57" t="s">
        <v>3</v>
      </c>
      <c r="G15" s="1"/>
    </row>
    <row r="16" spans="1:7" x14ac:dyDescent="0.35">
      <c r="A16" s="1"/>
      <c r="B16" s="56" t="s">
        <v>61</v>
      </c>
      <c r="C16" s="56"/>
      <c r="D16" s="56"/>
      <c r="E16" s="56"/>
      <c r="F16" s="56"/>
      <c r="G16" s="1"/>
    </row>
    <row r="17" spans="1:7" x14ac:dyDescent="0.35">
      <c r="A17" s="1"/>
      <c r="B17" s="57" t="s">
        <v>76</v>
      </c>
      <c r="C17" s="32"/>
      <c r="D17" s="32"/>
      <c r="E17" s="9">
        <f>'Fane 5. Kontrol af ØR2021'!E30</f>
        <v>-63154.030004326203</v>
      </c>
      <c r="F17" s="57" t="s">
        <v>3</v>
      </c>
      <c r="G17" s="1"/>
    </row>
    <row r="18" spans="1:7" x14ac:dyDescent="0.35">
      <c r="A18" s="1"/>
      <c r="B18" s="56" t="s">
        <v>74</v>
      </c>
      <c r="C18" s="56"/>
      <c r="D18" s="56"/>
      <c r="E18" s="56"/>
      <c r="F18" s="56"/>
      <c r="G18" s="1"/>
    </row>
    <row r="19" spans="1:7" x14ac:dyDescent="0.35">
      <c r="A19" s="1"/>
      <c r="B19" s="57" t="s">
        <v>75</v>
      </c>
      <c r="C19" s="57"/>
      <c r="D19" s="57"/>
      <c r="E19" s="9">
        <f>'Fane 7. Skattesagen'!G13</f>
        <v>0</v>
      </c>
      <c r="F19" s="57" t="s">
        <v>3</v>
      </c>
      <c r="G19" s="1"/>
    </row>
    <row r="20" spans="1:7" x14ac:dyDescent="0.35">
      <c r="A20" s="1"/>
      <c r="B20" s="56" t="s">
        <v>56</v>
      </c>
      <c r="C20" s="56"/>
      <c r="D20" s="56"/>
      <c r="E20" s="10">
        <f>SUM(E11,E13,E15,E17,E19)</f>
        <v>1530651.4239029926</v>
      </c>
      <c r="F20" s="11" t="s">
        <v>3</v>
      </c>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sheetData>
  <sheetProtection algorithmName="SHA-512" hashValue="25stWwDD/gaHP9q6KJskEpYw5GwwKRYyNAg3FBR5ElHYk9GVmabtdoH/QbA0IwfFHN3VEj0nolpBcq09Ng0M5g==" saltValue="rQr7jiVkAC1qWXazBftrb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50"/>
  <sheetViews>
    <sheetView showGridLines="0" view="pageLayout" zoomScaleNormal="100" workbookViewId="0"/>
  </sheetViews>
  <sheetFormatPr defaultColWidth="9.1796875" defaultRowHeight="14.5" x14ac:dyDescent="0.35"/>
  <cols>
    <col min="1" max="1" width="5.1796875" style="2" customWidth="1"/>
    <col min="2" max="2" width="56.453125" style="2" customWidth="1"/>
    <col min="3" max="3" width="0" style="2" hidden="1" customWidth="1"/>
    <col min="4" max="4" width="27" style="2" hidden="1" customWidth="1"/>
    <col min="5" max="5" width="10.26953125" style="2" customWidth="1"/>
    <col min="6" max="6" width="3.26953125" style="2" customWidth="1"/>
    <col min="7" max="7" width="10"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83</v>
      </c>
      <c r="C3" s="92"/>
      <c r="D3" s="92"/>
      <c r="E3" s="92"/>
      <c r="F3" s="92"/>
      <c r="G3" s="1"/>
    </row>
    <row r="4" spans="1:7" ht="15" customHeight="1" x14ac:dyDescent="0.35">
      <c r="A4" s="1"/>
      <c r="B4" s="92"/>
      <c r="C4" s="92"/>
      <c r="D4" s="92"/>
      <c r="E4" s="92"/>
      <c r="F4" s="92"/>
      <c r="G4" s="1"/>
    </row>
    <row r="5" spans="1:7" x14ac:dyDescent="0.35">
      <c r="A5" s="1"/>
      <c r="B5" s="93" t="s">
        <v>19</v>
      </c>
      <c r="C5" s="93"/>
      <c r="D5" s="93"/>
      <c r="E5" s="93"/>
      <c r="F5" s="93"/>
      <c r="G5" s="1"/>
    </row>
    <row r="6" spans="1:7" x14ac:dyDescent="0.35">
      <c r="A6" s="1"/>
      <c r="B6" s="1"/>
      <c r="C6" s="1"/>
      <c r="D6" s="1"/>
      <c r="E6" s="1"/>
      <c r="F6" s="1"/>
      <c r="G6" s="1"/>
    </row>
    <row r="7" spans="1:7" x14ac:dyDescent="0.35">
      <c r="A7" s="1"/>
      <c r="B7" s="56" t="s">
        <v>11</v>
      </c>
      <c r="C7" s="56"/>
      <c r="D7" s="56"/>
      <c r="E7" s="56"/>
      <c r="F7" s="56"/>
      <c r="G7" s="1"/>
    </row>
    <row r="8" spans="1:7" ht="15" customHeight="1" x14ac:dyDescent="0.35">
      <c r="A8" s="1"/>
      <c r="B8" s="64" t="s">
        <v>64</v>
      </c>
      <c r="C8" s="64"/>
      <c r="D8" s="64"/>
      <c r="E8" s="7">
        <f>'Fane 2.2. Økonomisk ramme 2024'!E11</f>
        <v>1573589.7037759435</v>
      </c>
      <c r="F8" s="64" t="s">
        <v>3</v>
      </c>
      <c r="G8" s="1"/>
    </row>
    <row r="9" spans="1:7" ht="15" customHeight="1" x14ac:dyDescent="0.35">
      <c r="A9" s="1"/>
      <c r="B9" s="55" t="s">
        <v>16</v>
      </c>
      <c r="C9" s="64"/>
      <c r="D9" s="64"/>
      <c r="E9" s="8">
        <f>SUM(E8:E8)*'Fane 13. Nøgletal'!C15</f>
        <v>56019.79345442359</v>
      </c>
      <c r="F9" s="64" t="s">
        <v>3</v>
      </c>
      <c r="G9" s="1"/>
    </row>
    <row r="10" spans="1:7" ht="15" customHeight="1" x14ac:dyDescent="0.35">
      <c r="A10" s="1"/>
      <c r="B10" s="55" t="s">
        <v>43</v>
      </c>
      <c r="C10" s="64"/>
      <c r="D10" s="64"/>
      <c r="E10" s="8">
        <f>-SUM(E8:E9)*'Fane 13. Nøgletal'!C20</f>
        <v>-27703.361452916241</v>
      </c>
      <c r="F10" s="64" t="s">
        <v>3</v>
      </c>
      <c r="G10" s="1"/>
    </row>
    <row r="11" spans="1:7" x14ac:dyDescent="0.35">
      <c r="A11" s="1"/>
      <c r="B11" s="28" t="s">
        <v>18</v>
      </c>
      <c r="C11" s="28"/>
      <c r="D11" s="28"/>
      <c r="E11" s="9">
        <f>SUM(E8:E10)</f>
        <v>1601906.1357774509</v>
      </c>
      <c r="F11" s="57" t="s">
        <v>3</v>
      </c>
      <c r="G11" s="1"/>
    </row>
    <row r="12" spans="1:7" x14ac:dyDescent="0.35">
      <c r="A12" s="1"/>
      <c r="B12" s="56" t="s">
        <v>10</v>
      </c>
      <c r="C12" s="56"/>
      <c r="D12" s="56"/>
      <c r="E12" s="56"/>
      <c r="F12" s="56"/>
      <c r="G12" s="1"/>
    </row>
    <row r="13" spans="1:7" ht="15" customHeight="1" x14ac:dyDescent="0.35">
      <c r="A13" s="1"/>
      <c r="B13" s="57" t="s">
        <v>10</v>
      </c>
      <c r="C13" s="57"/>
      <c r="D13" s="57"/>
      <c r="E13" s="9">
        <f>'Fane 4. Ikke-påvirkelige omk.'!C13*(1+'Fane 13. Nøgletal'!C15)^2</f>
        <v>12508.275341135897</v>
      </c>
      <c r="F13" s="57" t="s">
        <v>3</v>
      </c>
      <c r="G13" s="1"/>
    </row>
    <row r="14" spans="1:7" ht="15" customHeight="1" x14ac:dyDescent="0.35">
      <c r="A14" s="1"/>
      <c r="B14" s="56" t="s">
        <v>149</v>
      </c>
      <c r="C14" s="56"/>
      <c r="D14" s="56"/>
      <c r="E14" s="56"/>
      <c r="F14" s="56"/>
      <c r="G14" s="1"/>
    </row>
    <row r="15" spans="1:7" ht="15" customHeight="1" x14ac:dyDescent="0.35">
      <c r="A15" s="1"/>
      <c r="B15" s="69" t="s">
        <v>149</v>
      </c>
      <c r="C15" s="28"/>
      <c r="D15" s="28"/>
      <c r="E15" s="9">
        <f>'Fane 10. Periodevise driftsomk.'!E22</f>
        <v>8427.1554949164256</v>
      </c>
      <c r="F15" s="57" t="s">
        <v>3</v>
      </c>
      <c r="G15" s="1"/>
    </row>
    <row r="16" spans="1:7" ht="15" customHeight="1" x14ac:dyDescent="0.35">
      <c r="A16" s="1"/>
      <c r="B16" s="56" t="s">
        <v>61</v>
      </c>
      <c r="C16" s="56"/>
      <c r="D16" s="56"/>
      <c r="E16" s="56"/>
      <c r="F16" s="56"/>
      <c r="G16" s="1"/>
    </row>
    <row r="17" spans="1:7" ht="15" customHeight="1" x14ac:dyDescent="0.35">
      <c r="A17" s="1"/>
      <c r="B17" s="57" t="s">
        <v>62</v>
      </c>
      <c r="C17" s="32"/>
      <c r="D17" s="32"/>
      <c r="E17" s="9">
        <v>0</v>
      </c>
      <c r="F17" s="57" t="s">
        <v>3</v>
      </c>
      <c r="G17" s="1"/>
    </row>
    <row r="18" spans="1:7" ht="15" customHeight="1" x14ac:dyDescent="0.35">
      <c r="A18" s="1"/>
      <c r="B18" s="56" t="s">
        <v>74</v>
      </c>
      <c r="C18" s="56"/>
      <c r="D18" s="56"/>
      <c r="E18" s="56"/>
      <c r="F18" s="56"/>
      <c r="G18" s="1"/>
    </row>
    <row r="19" spans="1:7" ht="15" customHeight="1" x14ac:dyDescent="0.35">
      <c r="A19" s="1"/>
      <c r="B19" s="57" t="s">
        <v>75</v>
      </c>
      <c r="C19" s="57"/>
      <c r="D19" s="57"/>
      <c r="E19" s="9">
        <f>'Fane 7. Skattesagen'!G14</f>
        <v>0</v>
      </c>
      <c r="F19" s="57" t="s">
        <v>3</v>
      </c>
      <c r="G19" s="1"/>
    </row>
    <row r="20" spans="1:7" x14ac:dyDescent="0.35">
      <c r="A20" s="1"/>
      <c r="B20" s="56" t="s">
        <v>65</v>
      </c>
      <c r="C20" s="56"/>
      <c r="D20" s="56"/>
      <c r="E20" s="10">
        <f>SUM(E11,E13,E15,E17,E19)</f>
        <v>1622841.5666135033</v>
      </c>
      <c r="F20" s="11" t="s">
        <v>3</v>
      </c>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pJ/F54Dov4yauhw/xpS5TnFKbPGNH6wuLudb4Sc2QVSThnH0HHqB2AtkA8MXvJqsTHFqsHkwCr7TBQBA4Le+Yg==" saltValue="GKH5HdOMLT4WtXEg4wSUA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50"/>
  <sheetViews>
    <sheetView showGridLines="0" view="pageLayout" zoomScaleNormal="100" workbookViewId="0"/>
  </sheetViews>
  <sheetFormatPr defaultColWidth="9.1796875" defaultRowHeight="14.5" x14ac:dyDescent="0.35"/>
  <cols>
    <col min="1" max="1" width="5.1796875" style="2" customWidth="1"/>
    <col min="2" max="2" width="51.7265625" style="2" customWidth="1"/>
    <col min="3" max="3" width="0" style="2" hidden="1" customWidth="1"/>
    <col min="4" max="4" width="27" style="2" hidden="1" customWidth="1"/>
    <col min="5" max="5" width="13.26953125" style="2" customWidth="1"/>
    <col min="6" max="6" width="3.81640625" style="2" customWidth="1"/>
    <col min="7" max="7" width="11"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84</v>
      </c>
      <c r="C3" s="92"/>
      <c r="D3" s="92"/>
      <c r="E3" s="92"/>
      <c r="F3" s="92"/>
      <c r="G3" s="1"/>
    </row>
    <row r="4" spans="1:7" ht="15" customHeight="1" x14ac:dyDescent="0.35">
      <c r="A4" s="1"/>
      <c r="B4" s="92"/>
      <c r="C4" s="92"/>
      <c r="D4" s="92"/>
      <c r="E4" s="92"/>
      <c r="F4" s="92"/>
      <c r="G4" s="1"/>
    </row>
    <row r="5" spans="1:7" x14ac:dyDescent="0.35">
      <c r="A5" s="1"/>
      <c r="B5" s="93" t="s">
        <v>19</v>
      </c>
      <c r="C5" s="93"/>
      <c r="D5" s="93"/>
      <c r="E5" s="93"/>
      <c r="F5" s="93"/>
      <c r="G5" s="1"/>
    </row>
    <row r="6" spans="1:7" x14ac:dyDescent="0.35">
      <c r="A6" s="1"/>
      <c r="B6" s="1"/>
      <c r="C6" s="1"/>
      <c r="D6" s="1"/>
      <c r="E6" s="1"/>
      <c r="F6" s="1"/>
      <c r="G6" s="1"/>
    </row>
    <row r="7" spans="1:7" x14ac:dyDescent="0.35">
      <c r="A7" s="1"/>
      <c r="B7" s="56" t="s">
        <v>11</v>
      </c>
      <c r="C7" s="56"/>
      <c r="D7" s="56"/>
      <c r="E7" s="56"/>
      <c r="F7" s="56"/>
      <c r="G7" s="1"/>
    </row>
    <row r="8" spans="1:7" ht="15" customHeight="1" x14ac:dyDescent="0.35">
      <c r="A8" s="1"/>
      <c r="B8" s="64" t="s">
        <v>85</v>
      </c>
      <c r="C8" s="64"/>
      <c r="D8" s="64"/>
      <c r="E8" s="7">
        <f>'Fane 2.3. Økonomisk ramme 2025'!E11</f>
        <v>1601906.1357774509</v>
      </c>
      <c r="F8" s="64" t="s">
        <v>3</v>
      </c>
      <c r="G8" s="1"/>
    </row>
    <row r="9" spans="1:7" ht="15" customHeight="1" x14ac:dyDescent="0.35">
      <c r="A9" s="1"/>
      <c r="B9" s="55" t="s">
        <v>16</v>
      </c>
      <c r="C9" s="64"/>
      <c r="D9" s="64"/>
      <c r="E9" s="8">
        <f>SUM(E8:E8)*'Fane 13. Nøgletal'!C15</f>
        <v>57027.858433677247</v>
      </c>
      <c r="F9" s="64" t="s">
        <v>3</v>
      </c>
      <c r="G9" s="1"/>
    </row>
    <row r="10" spans="1:7" ht="15" customHeight="1" x14ac:dyDescent="0.35">
      <c r="A10" s="1"/>
      <c r="B10" s="55" t="s">
        <v>43</v>
      </c>
      <c r="C10" s="64"/>
      <c r="D10" s="64"/>
      <c r="E10" s="8">
        <f>-SUM(E8:E9)*'Fane 13. Nøgletal'!C20</f>
        <v>-28201.877901589181</v>
      </c>
      <c r="F10" s="64" t="s">
        <v>3</v>
      </c>
      <c r="G10" s="1"/>
    </row>
    <row r="11" spans="1:7" x14ac:dyDescent="0.35">
      <c r="A11" s="1"/>
      <c r="B11" s="28" t="s">
        <v>18</v>
      </c>
      <c r="C11" s="28"/>
      <c r="D11" s="28"/>
      <c r="E11" s="9">
        <f>SUM(E8:E10)</f>
        <v>1630732.1163095389</v>
      </c>
      <c r="F11" s="57" t="s">
        <v>3</v>
      </c>
      <c r="G11" s="1"/>
    </row>
    <row r="12" spans="1:7" x14ac:dyDescent="0.35">
      <c r="A12" s="1"/>
      <c r="B12" s="56" t="s">
        <v>10</v>
      </c>
      <c r="C12" s="56"/>
      <c r="D12" s="56"/>
      <c r="E12" s="56"/>
      <c r="F12" s="56"/>
      <c r="G12" s="1"/>
    </row>
    <row r="13" spans="1:7" ht="15" customHeight="1" x14ac:dyDescent="0.35">
      <c r="A13" s="1"/>
      <c r="B13" s="57" t="s">
        <v>10</v>
      </c>
      <c r="C13" s="57"/>
      <c r="D13" s="57"/>
      <c r="E13" s="9">
        <f>'Fane 4. Ikke-påvirkelige omk.'!C13*(1+'Fane 13. Nøgletal'!C15)^3</f>
        <v>12953.569943280336</v>
      </c>
      <c r="F13" s="57" t="s">
        <v>3</v>
      </c>
      <c r="G13" s="1"/>
    </row>
    <row r="14" spans="1:7" ht="15" customHeight="1" x14ac:dyDescent="0.35">
      <c r="A14" s="1"/>
      <c r="B14" s="56" t="s">
        <v>149</v>
      </c>
      <c r="C14" s="56"/>
      <c r="D14" s="56"/>
      <c r="E14" s="56"/>
      <c r="F14" s="56"/>
      <c r="G14" s="1"/>
    </row>
    <row r="15" spans="1:7" ht="15" customHeight="1" x14ac:dyDescent="0.35">
      <c r="A15" s="1"/>
      <c r="B15" s="69" t="s">
        <v>149</v>
      </c>
      <c r="C15" s="28"/>
      <c r="D15" s="28"/>
      <c r="E15" s="9">
        <f>'Fane 10. Periodevise driftsomk.'!E27</f>
        <v>8727.1622305354504</v>
      </c>
      <c r="F15" s="57" t="s">
        <v>3</v>
      </c>
      <c r="G15" s="1"/>
    </row>
    <row r="16" spans="1:7" ht="15" customHeight="1" x14ac:dyDescent="0.35">
      <c r="A16" s="1"/>
      <c r="B16" s="56" t="s">
        <v>61</v>
      </c>
      <c r="C16" s="56"/>
      <c r="D16" s="56"/>
      <c r="E16" s="56"/>
      <c r="F16" s="56"/>
      <c r="G16" s="1"/>
    </row>
    <row r="17" spans="1:7" ht="15" customHeight="1" x14ac:dyDescent="0.35">
      <c r="A17" s="1"/>
      <c r="B17" s="57" t="s">
        <v>62</v>
      </c>
      <c r="C17" s="32"/>
      <c r="D17" s="32"/>
      <c r="E17" s="9">
        <v>0</v>
      </c>
      <c r="F17" s="57" t="s">
        <v>3</v>
      </c>
      <c r="G17" s="1"/>
    </row>
    <row r="18" spans="1:7" ht="15" customHeight="1" x14ac:dyDescent="0.35">
      <c r="A18" s="1"/>
      <c r="B18" s="56" t="s">
        <v>74</v>
      </c>
      <c r="C18" s="56"/>
      <c r="D18" s="56"/>
      <c r="E18" s="56"/>
      <c r="F18" s="56"/>
      <c r="G18" s="1"/>
    </row>
    <row r="19" spans="1:7" ht="15" customHeight="1" x14ac:dyDescent="0.35">
      <c r="A19" s="1"/>
      <c r="B19" s="57" t="s">
        <v>75</v>
      </c>
      <c r="C19" s="57"/>
      <c r="D19" s="57"/>
      <c r="E19" s="9">
        <f>'Fane 7. Skattesagen'!G15</f>
        <v>0</v>
      </c>
      <c r="F19" s="57" t="s">
        <v>3</v>
      </c>
      <c r="G19" s="1"/>
    </row>
    <row r="20" spans="1:7" x14ac:dyDescent="0.35">
      <c r="A20" s="1"/>
      <c r="B20" s="56" t="s">
        <v>86</v>
      </c>
      <c r="C20" s="56"/>
      <c r="D20" s="56"/>
      <c r="E20" s="10">
        <f>SUM(E11,E13,E15,E17,E19)</f>
        <v>1652412.8484833548</v>
      </c>
      <c r="F20" s="11" t="s">
        <v>3</v>
      </c>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3fhXU+CGX+F0moenT4xFh9UepCtxtn2+BdQxc6pq+5Sos3FepOIw61r9qFLdx5yrn2j9kqdrTkaJVGgYpiYzwQ==" saltValue="YYo/e206VM7VsuEfSX42f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796875" defaultRowHeight="14.5" x14ac:dyDescent="0.35"/>
  <cols>
    <col min="1" max="1" width="7.81640625" style="2" customWidth="1"/>
    <col min="2" max="3" width="9.1796875" style="2"/>
    <col min="4" max="4" width="34.7265625" style="2" customWidth="1"/>
    <col min="5" max="5" width="12.26953125" style="2" bestFit="1" customWidth="1"/>
    <col min="6" max="6" width="3.54296875" style="2" bestFit="1" customWidth="1"/>
    <col min="7" max="7" width="7.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4" t="s">
        <v>87</v>
      </c>
      <c r="C3" s="94"/>
      <c r="D3" s="94"/>
      <c r="E3" s="94"/>
      <c r="F3" s="94"/>
      <c r="G3" s="1"/>
    </row>
    <row r="4" spans="1:7" ht="29.25" customHeight="1" x14ac:dyDescent="0.35">
      <c r="A4" s="1"/>
      <c r="B4" s="94"/>
      <c r="C4" s="94"/>
      <c r="D4" s="94"/>
      <c r="E4" s="94"/>
      <c r="F4" s="94"/>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6" t="s">
        <v>88</v>
      </c>
      <c r="C8" s="56"/>
      <c r="D8" s="56"/>
      <c r="E8" s="56"/>
      <c r="F8" s="56"/>
      <c r="G8" s="1"/>
    </row>
    <row r="9" spans="1:7" x14ac:dyDescent="0.35">
      <c r="A9" s="1"/>
      <c r="B9" s="95" t="s">
        <v>21</v>
      </c>
      <c r="C9" s="95"/>
      <c r="D9" s="95"/>
      <c r="E9" s="7">
        <v>1526091.3659183164</v>
      </c>
      <c r="F9" s="64" t="s">
        <v>3</v>
      </c>
      <c r="G9" s="1"/>
    </row>
    <row r="10" spans="1:7" x14ac:dyDescent="0.35">
      <c r="A10" s="1"/>
      <c r="B10" s="97" t="s">
        <v>102</v>
      </c>
      <c r="C10" s="98"/>
      <c r="D10" s="99"/>
      <c r="E10" s="7">
        <v>0</v>
      </c>
      <c r="F10" s="64" t="s">
        <v>3</v>
      </c>
      <c r="G10" s="1"/>
    </row>
    <row r="11" spans="1:7" x14ac:dyDescent="0.35">
      <c r="A11" s="1"/>
      <c r="B11" s="96" t="s">
        <v>49</v>
      </c>
      <c r="C11" s="96"/>
      <c r="D11" s="96"/>
      <c r="E11" s="7">
        <v>0</v>
      </c>
      <c r="F11" s="64" t="s">
        <v>3</v>
      </c>
      <c r="G11" s="1"/>
    </row>
    <row r="12" spans="1:7" x14ac:dyDescent="0.35">
      <c r="A12" s="1"/>
      <c r="B12" s="96" t="s">
        <v>53</v>
      </c>
      <c r="C12" s="96"/>
      <c r="D12" s="96"/>
      <c r="E12" s="7">
        <v>0</v>
      </c>
      <c r="F12" s="64" t="s">
        <v>3</v>
      </c>
      <c r="G12" s="1"/>
    </row>
    <row r="13" spans="1:7" x14ac:dyDescent="0.35">
      <c r="A13" s="1"/>
      <c r="B13" s="96" t="s">
        <v>50</v>
      </c>
      <c r="C13" s="96"/>
      <c r="D13" s="96"/>
      <c r="E13" s="8">
        <v>0</v>
      </c>
      <c r="F13" s="64" t="s">
        <v>3</v>
      </c>
      <c r="G13" s="1"/>
    </row>
    <row r="14" spans="1:7" x14ac:dyDescent="0.35">
      <c r="A14" s="1"/>
      <c r="B14" s="96" t="s">
        <v>16</v>
      </c>
      <c r="C14" s="96"/>
      <c r="D14" s="96"/>
      <c r="E14" s="8">
        <f>E9*'Fane 13. Nøgletal'!C13+SUM(E11:E13)*'Fane 13. Nøgletal'!C14</f>
        <v>18618.314664203463</v>
      </c>
      <c r="F14" s="64" t="s">
        <v>3</v>
      </c>
      <c r="G14" s="1"/>
    </row>
    <row r="15" spans="1:7" x14ac:dyDescent="0.35">
      <c r="A15" s="1"/>
      <c r="B15" s="96" t="s">
        <v>43</v>
      </c>
      <c r="C15" s="96"/>
      <c r="D15" s="96"/>
      <c r="E15" s="8">
        <f>-SUM(E9:E14)*'Fane 13. Nøgletal'!C20</f>
        <v>-26260.064569902839</v>
      </c>
      <c r="F15" s="64" t="s">
        <v>3</v>
      </c>
      <c r="G15" s="1"/>
    </row>
    <row r="16" spans="1:7" x14ac:dyDescent="0.35">
      <c r="A16" s="1"/>
      <c r="B16" s="101" t="s">
        <v>18</v>
      </c>
      <c r="C16" s="101"/>
      <c r="D16" s="101"/>
      <c r="E16" s="33">
        <f>SUM(E9:E15)</f>
        <v>1518449.616012617</v>
      </c>
      <c r="F16" s="34" t="s">
        <v>3</v>
      </c>
      <c r="G16" s="1"/>
    </row>
    <row r="17" spans="1:7" x14ac:dyDescent="0.35">
      <c r="A17" s="1"/>
      <c r="B17" s="102" t="s">
        <v>10</v>
      </c>
      <c r="C17" s="102"/>
      <c r="D17" s="102"/>
      <c r="E17" s="56"/>
      <c r="F17" s="56"/>
      <c r="G17" s="1"/>
    </row>
    <row r="18" spans="1:7" x14ac:dyDescent="0.35">
      <c r="A18" s="1"/>
      <c r="B18" s="103" t="s">
        <v>10</v>
      </c>
      <c r="C18" s="103"/>
      <c r="D18" s="103"/>
      <c r="E18" s="9">
        <v>7874.7169924700011</v>
      </c>
      <c r="F18" s="57" t="s">
        <v>3</v>
      </c>
      <c r="G18" s="1"/>
    </row>
    <row r="19" spans="1:7" ht="15.4" customHeight="1" x14ac:dyDescent="0.35">
      <c r="A19" s="1"/>
      <c r="B19" s="56" t="s">
        <v>35</v>
      </c>
      <c r="C19" s="56"/>
      <c r="D19" s="56"/>
      <c r="E19" s="56"/>
      <c r="F19" s="56"/>
      <c r="G19" s="1"/>
    </row>
    <row r="20" spans="1:7" ht="15.75" customHeight="1" x14ac:dyDescent="0.35">
      <c r="A20" s="1"/>
      <c r="B20" s="104" t="s">
        <v>32</v>
      </c>
      <c r="C20" s="105"/>
      <c r="D20" s="106"/>
      <c r="E20" s="54">
        <v>0</v>
      </c>
      <c r="F20" s="27" t="s">
        <v>3</v>
      </c>
      <c r="G20" s="1"/>
    </row>
    <row r="21" spans="1:7" x14ac:dyDescent="0.35">
      <c r="A21" s="1"/>
      <c r="B21" s="104" t="s">
        <v>33</v>
      </c>
      <c r="C21" s="105"/>
      <c r="D21" s="106"/>
      <c r="E21" s="54">
        <v>0</v>
      </c>
      <c r="F21" s="27" t="s">
        <v>3</v>
      </c>
      <c r="G21" s="1"/>
    </row>
    <row r="22" spans="1:7" x14ac:dyDescent="0.35">
      <c r="A22" s="1"/>
      <c r="B22" s="107" t="s">
        <v>36</v>
      </c>
      <c r="C22" s="108"/>
      <c r="D22" s="109"/>
      <c r="E22" s="9">
        <f>SUM(E20:E21)</f>
        <v>0</v>
      </c>
      <c r="F22" s="9" t="s">
        <v>3</v>
      </c>
      <c r="G22" s="1"/>
    </row>
    <row r="23" spans="1:7" ht="15.75" customHeight="1" x14ac:dyDescent="0.35">
      <c r="A23" s="1"/>
      <c r="B23" s="56" t="s">
        <v>61</v>
      </c>
      <c r="C23" s="56"/>
      <c r="D23" s="56"/>
      <c r="E23" s="56"/>
      <c r="F23" s="56"/>
      <c r="G23" s="1"/>
    </row>
    <row r="24" spans="1:7" x14ac:dyDescent="0.35">
      <c r="A24" s="1"/>
      <c r="B24" s="69" t="s">
        <v>26</v>
      </c>
      <c r="C24" s="28"/>
      <c r="D24" s="28"/>
      <c r="E24" s="9">
        <v>-41187.559346303664</v>
      </c>
      <c r="F24" s="57" t="s">
        <v>3</v>
      </c>
      <c r="G24" s="1"/>
    </row>
    <row r="25" spans="1:7" x14ac:dyDescent="0.35">
      <c r="A25" s="1"/>
      <c r="B25" s="69" t="s">
        <v>62</v>
      </c>
      <c r="C25" s="28"/>
      <c r="D25" s="28"/>
      <c r="E25" s="9">
        <v>0</v>
      </c>
      <c r="F25" s="57" t="s">
        <v>3</v>
      </c>
      <c r="G25" s="1"/>
    </row>
    <row r="26" spans="1:7" x14ac:dyDescent="0.35">
      <c r="A26" s="1"/>
      <c r="B26" s="56" t="s">
        <v>74</v>
      </c>
      <c r="C26" s="56"/>
      <c r="D26" s="56"/>
      <c r="E26" s="56"/>
      <c r="F26" s="56"/>
      <c r="G26" s="1"/>
    </row>
    <row r="27" spans="1:7" x14ac:dyDescent="0.35">
      <c r="A27" s="1"/>
      <c r="B27" s="110" t="s">
        <v>75</v>
      </c>
      <c r="C27" s="111"/>
      <c r="D27" s="112"/>
      <c r="E27" s="9">
        <f>'Fane 7. Skattesagen'!G11</f>
        <v>0</v>
      </c>
      <c r="F27" s="57" t="s">
        <v>3</v>
      </c>
      <c r="G27" s="1"/>
    </row>
    <row r="28" spans="1:7" ht="15" customHeight="1" x14ac:dyDescent="0.35">
      <c r="A28" s="1"/>
      <c r="B28" s="35" t="s">
        <v>158</v>
      </c>
      <c r="C28" s="35"/>
      <c r="D28" s="35"/>
      <c r="E28" s="36">
        <f>E16+E18+E22+E24+E25+E27</f>
        <v>1485136.7736587834</v>
      </c>
      <c r="F28" s="37" t="s">
        <v>3</v>
      </c>
      <c r="G28" s="1"/>
    </row>
    <row r="29" spans="1:7" ht="27" customHeight="1" x14ac:dyDescent="0.35">
      <c r="A29" s="1"/>
      <c r="B29" s="100" t="s">
        <v>89</v>
      </c>
      <c r="C29" s="100"/>
      <c r="D29" s="100"/>
      <c r="E29" s="100"/>
      <c r="F29" s="100"/>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y5MA6pireXwjLa4Du2J93+bBjNmsEQ3UEFR5SCLQO6KOyON4+8ereJ4GmZuWREni3uWAH2BxQrCIKYJ4bep3qA==" saltValue="DBxrwybGPynTN4vHSr4CC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92" t="s">
        <v>42</v>
      </c>
      <c r="C3" s="92"/>
      <c r="D3" s="92"/>
      <c r="E3" s="1"/>
      <c r="F3" s="1"/>
    </row>
    <row r="4" spans="1:6" ht="15" customHeight="1" x14ac:dyDescent="0.35">
      <c r="A4" s="1"/>
      <c r="B4" s="92"/>
      <c r="C4" s="92"/>
      <c r="D4" s="92"/>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13" t="s">
        <v>90</v>
      </c>
      <c r="C8" s="114"/>
      <c r="D8" s="115"/>
      <c r="E8" s="1"/>
      <c r="F8" s="1"/>
    </row>
    <row r="9" spans="1:6" ht="15" customHeight="1" x14ac:dyDescent="0.35">
      <c r="A9" s="1"/>
      <c r="B9" s="17" t="s">
        <v>24</v>
      </c>
      <c r="C9" s="57" t="s">
        <v>108</v>
      </c>
      <c r="D9" s="57"/>
      <c r="E9" s="1"/>
      <c r="F9" s="1"/>
    </row>
    <row r="10" spans="1:6" x14ac:dyDescent="0.35">
      <c r="A10" s="1"/>
      <c r="B10" s="23" t="s">
        <v>117</v>
      </c>
      <c r="C10" s="8">
        <v>9656</v>
      </c>
      <c r="D10" s="12" t="s">
        <v>3</v>
      </c>
      <c r="E10" s="1"/>
      <c r="F10" s="1"/>
    </row>
    <row r="11" spans="1:6" x14ac:dyDescent="0.35">
      <c r="A11" s="1"/>
      <c r="B11" s="23" t="s">
        <v>118</v>
      </c>
      <c r="C11" s="8">
        <v>1219</v>
      </c>
      <c r="D11" s="12" t="s">
        <v>3</v>
      </c>
      <c r="E11" s="1"/>
      <c r="F11" s="1"/>
    </row>
    <row r="12" spans="1:6" x14ac:dyDescent="0.35">
      <c r="A12" s="1"/>
      <c r="B12" s="75" t="s">
        <v>91</v>
      </c>
      <c r="C12" s="10">
        <f>SUM(C10:C11)</f>
        <v>10875</v>
      </c>
      <c r="D12" s="11" t="s">
        <v>3</v>
      </c>
      <c r="E12" s="1"/>
      <c r="F12" s="1"/>
    </row>
    <row r="13" spans="1:6" x14ac:dyDescent="0.35">
      <c r="A13" s="1"/>
      <c r="B13" s="75" t="s">
        <v>92</v>
      </c>
      <c r="C13" s="10">
        <f>C12*(1+'Fane 13. Nøgletal'!C15)^2</f>
        <v>11663.082540000001</v>
      </c>
      <c r="D13" s="11" t="s">
        <v>3</v>
      </c>
      <c r="E13" s="1"/>
      <c r="F13" s="1"/>
    </row>
    <row r="14" spans="1:6" x14ac:dyDescent="0.35">
      <c r="A14" s="1"/>
      <c r="B14" s="14"/>
      <c r="C14" s="13"/>
      <c r="D14" s="13"/>
      <c r="E14" s="1"/>
      <c r="F14" s="1"/>
    </row>
    <row r="15" spans="1:6" x14ac:dyDescent="0.35">
      <c r="A15" s="1"/>
      <c r="B15" s="14"/>
      <c r="C15" s="13"/>
      <c r="D15" s="13"/>
      <c r="E15" s="1"/>
      <c r="F15" s="1"/>
    </row>
    <row r="16" spans="1:6" x14ac:dyDescent="0.35">
      <c r="A16" s="1"/>
      <c r="B16" s="1"/>
      <c r="C16" s="1"/>
      <c r="D16" s="1"/>
      <c r="E16" s="1"/>
      <c r="F16" s="1"/>
    </row>
    <row r="17" spans="1:6" x14ac:dyDescent="0.35">
      <c r="A17" s="1"/>
      <c r="B17" s="1"/>
      <c r="C17" s="1"/>
      <c r="D17" s="1"/>
      <c r="E17" s="1"/>
      <c r="F17" s="1"/>
    </row>
    <row r="18" spans="1:6" x14ac:dyDescent="0.35">
      <c r="A18" s="1"/>
      <c r="B18" s="1"/>
      <c r="C18" s="1"/>
      <c r="D18" s="1"/>
      <c r="E18" s="1"/>
      <c r="F18" s="1"/>
    </row>
    <row r="19" spans="1:6" x14ac:dyDescent="0.35">
      <c r="A19" s="1"/>
      <c r="B19" s="1"/>
      <c r="C19" s="1"/>
      <c r="D19" s="1"/>
      <c r="E19" s="1"/>
      <c r="F19" s="1"/>
    </row>
    <row r="20" spans="1:6" x14ac:dyDescent="0.35">
      <c r="A20" s="1"/>
      <c r="B20" s="1"/>
      <c r="C20" s="1"/>
      <c r="D20" s="1"/>
      <c r="E20" s="1"/>
      <c r="F20" s="1"/>
    </row>
    <row r="21" spans="1:6" x14ac:dyDescent="0.35">
      <c r="A21" s="1"/>
      <c r="B21" s="1"/>
      <c r="C21" s="1"/>
      <c r="D21" s="1"/>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sheetData>
  <sheetProtection algorithmName="SHA-512" hashValue="8K5ntAQqUBVRk/RW/vjFCEd7EonbTNC57sBjurbIqLbExeZIocT/mhSs7Uf/+zz5IH/3mlaX/CqMeRJKfmp0BA==" saltValue="mZfBl212GHJR1BauYmwpm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7.26953125" style="2" customWidth="1"/>
    <col min="5" max="5" width="10.7265625" style="2"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4" t="s">
        <v>176</v>
      </c>
      <c r="C3" s="94"/>
      <c r="D3" s="94"/>
      <c r="E3" s="94"/>
      <c r="F3" s="94"/>
      <c r="G3" s="1"/>
    </row>
    <row r="4" spans="1:7" ht="15" customHeight="1" x14ac:dyDescent="0.35">
      <c r="A4" s="1"/>
      <c r="B4" s="94"/>
      <c r="C4" s="94"/>
      <c r="D4" s="94"/>
      <c r="E4" s="94"/>
      <c r="F4" s="94"/>
      <c r="G4" s="1"/>
    </row>
    <row r="5" spans="1:7" ht="15" customHeight="1" x14ac:dyDescent="0.35">
      <c r="A5" s="1"/>
      <c r="B5" s="63"/>
      <c r="C5" s="63"/>
      <c r="D5" s="63"/>
      <c r="E5" s="63"/>
      <c r="F5" s="63"/>
      <c r="G5" s="1"/>
    </row>
    <row r="6" spans="1:7" ht="15" customHeight="1" x14ac:dyDescent="0.35">
      <c r="A6" s="1"/>
      <c r="B6" s="63"/>
      <c r="C6" s="63"/>
      <c r="D6" s="63"/>
      <c r="E6" s="63"/>
      <c r="F6" s="63"/>
      <c r="G6" s="1"/>
    </row>
    <row r="7" spans="1:7" x14ac:dyDescent="0.35">
      <c r="A7" s="1"/>
      <c r="B7" s="1"/>
      <c r="C7" s="1"/>
      <c r="D7" s="1"/>
      <c r="E7" s="1"/>
      <c r="F7" s="1"/>
      <c r="G7" s="1"/>
    </row>
    <row r="8" spans="1:7" x14ac:dyDescent="0.35">
      <c r="A8" s="1"/>
      <c r="B8" s="113" t="s">
        <v>71</v>
      </c>
      <c r="C8" s="114"/>
      <c r="D8" s="114"/>
      <c r="E8" s="114"/>
      <c r="F8" s="115"/>
      <c r="G8" s="1"/>
    </row>
    <row r="9" spans="1:7" x14ac:dyDescent="0.35">
      <c r="A9" s="1"/>
      <c r="B9" s="120" t="s">
        <v>93</v>
      </c>
      <c r="C9" s="121"/>
      <c r="D9" s="122"/>
      <c r="E9" s="8">
        <v>-348972.27750083921</v>
      </c>
      <c r="F9" s="12" t="s">
        <v>3</v>
      </c>
      <c r="G9" s="1"/>
    </row>
    <row r="10" spans="1:7" x14ac:dyDescent="0.35">
      <c r="A10" s="1"/>
      <c r="B10" s="120" t="s">
        <v>119</v>
      </c>
      <c r="C10" s="121"/>
      <c r="D10" s="122"/>
      <c r="E10" s="8">
        <v>-126308.41164759686</v>
      </c>
      <c r="F10" s="12" t="s">
        <v>3</v>
      </c>
      <c r="G10" s="1"/>
    </row>
    <row r="11" spans="1:7" x14ac:dyDescent="0.35">
      <c r="A11" s="1"/>
      <c r="B11" s="75"/>
      <c r="C11" s="22"/>
      <c r="D11" s="22"/>
      <c r="E11" s="22"/>
      <c r="F11" s="76"/>
      <c r="G11" s="1"/>
    </row>
    <row r="12" spans="1:7" ht="68.25" customHeight="1" x14ac:dyDescent="0.35">
      <c r="A12" s="1"/>
      <c r="B12" s="126" t="s">
        <v>159</v>
      </c>
      <c r="C12" s="127"/>
      <c r="D12" s="127"/>
      <c r="E12" s="127"/>
      <c r="F12" s="128"/>
      <c r="G12" s="1"/>
    </row>
    <row r="13" spans="1:7" ht="27" customHeight="1" x14ac:dyDescent="0.35">
      <c r="A13" s="1"/>
      <c r="B13" s="1"/>
      <c r="C13" s="1"/>
      <c r="D13" s="1"/>
      <c r="E13" s="1"/>
      <c r="F13" s="1"/>
      <c r="G13" s="1"/>
    </row>
    <row r="14" spans="1:7" ht="28.5" customHeight="1" x14ac:dyDescent="0.35">
      <c r="A14" s="1"/>
      <c r="B14" s="113" t="s">
        <v>72</v>
      </c>
      <c r="C14" s="114"/>
      <c r="D14" s="114"/>
      <c r="E14" s="114"/>
      <c r="F14" s="115"/>
      <c r="G14" s="1"/>
    </row>
    <row r="15" spans="1:7" x14ac:dyDescent="0.35">
      <c r="A15" s="1"/>
      <c r="B15" s="120" t="s">
        <v>94</v>
      </c>
      <c r="C15" s="121"/>
      <c r="D15" s="122"/>
      <c r="E15" s="8">
        <f>-31577.0150021631*2</f>
        <v>-63154.030004326203</v>
      </c>
      <c r="F15" s="12" t="s">
        <v>3</v>
      </c>
      <c r="G15" s="1"/>
    </row>
    <row r="16" spans="1:7" x14ac:dyDescent="0.35">
      <c r="A16" s="1"/>
      <c r="B16" s="120" t="s">
        <v>120</v>
      </c>
      <c r="C16" s="121"/>
      <c r="D16" s="122"/>
      <c r="E16" s="8">
        <f>-31577.0150021631*2</f>
        <v>-63154.030004326203</v>
      </c>
      <c r="F16" s="12" t="s">
        <v>3</v>
      </c>
      <c r="G16" s="1"/>
    </row>
    <row r="17" spans="1:7" x14ac:dyDescent="0.35">
      <c r="A17" s="1"/>
      <c r="B17" s="75"/>
      <c r="C17" s="22"/>
      <c r="D17" s="22"/>
      <c r="E17" s="22"/>
      <c r="F17" s="76"/>
      <c r="G17" s="1"/>
    </row>
    <row r="18" spans="1:7" ht="27" customHeight="1" x14ac:dyDescent="0.35">
      <c r="A18" s="1"/>
      <c r="B18" s="129" t="s">
        <v>160</v>
      </c>
      <c r="C18" s="130"/>
      <c r="D18" s="130"/>
      <c r="E18" s="130"/>
      <c r="F18" s="131"/>
      <c r="G18" s="1"/>
    </row>
    <row r="19" spans="1:7" ht="28.5" customHeight="1" x14ac:dyDescent="0.35">
      <c r="A19" s="1"/>
      <c r="B19" s="1"/>
      <c r="C19" s="1"/>
      <c r="D19" s="1"/>
      <c r="E19" s="1"/>
      <c r="F19" s="1"/>
      <c r="G19" s="1"/>
    </row>
    <row r="20" spans="1:7" ht="28.5" customHeight="1" x14ac:dyDescent="0.35">
      <c r="A20" s="1"/>
      <c r="B20" s="66" t="s">
        <v>95</v>
      </c>
      <c r="C20" s="67"/>
      <c r="D20" s="67"/>
      <c r="E20" s="67"/>
      <c r="F20" s="68"/>
      <c r="G20" s="1"/>
    </row>
    <row r="21" spans="1:7" x14ac:dyDescent="0.35">
      <c r="A21" s="1"/>
      <c r="B21" s="70" t="s">
        <v>96</v>
      </c>
      <c r="C21" s="71"/>
      <c r="D21" s="72"/>
      <c r="E21" s="8">
        <v>1590836.8681808608</v>
      </c>
      <c r="F21" s="12" t="s">
        <v>3</v>
      </c>
      <c r="G21" s="1"/>
    </row>
    <row r="22" spans="1:7" x14ac:dyDescent="0.35">
      <c r="A22" s="1"/>
      <c r="B22" s="70" t="s">
        <v>121</v>
      </c>
      <c r="C22" s="71"/>
      <c r="D22" s="72"/>
      <c r="E22" s="8">
        <v>1587715</v>
      </c>
      <c r="F22" s="12" t="s">
        <v>3</v>
      </c>
      <c r="G22" s="1"/>
    </row>
    <row r="23" spans="1:7" x14ac:dyDescent="0.35">
      <c r="A23" s="1"/>
      <c r="B23" s="70" t="s">
        <v>25</v>
      </c>
      <c r="C23" s="71"/>
      <c r="D23" s="72"/>
      <c r="E23" s="8">
        <v>0</v>
      </c>
      <c r="F23" s="12" t="s">
        <v>3</v>
      </c>
      <c r="G23" s="1"/>
    </row>
    <row r="24" spans="1:7" x14ac:dyDescent="0.35">
      <c r="A24" s="1"/>
      <c r="B24" s="58" t="s">
        <v>161</v>
      </c>
      <c r="C24" s="59"/>
      <c r="D24" s="60"/>
      <c r="E24" s="51">
        <f>E21-(E22-E23)</f>
        <v>3121.8681808607653</v>
      </c>
      <c r="F24" s="15" t="s">
        <v>3</v>
      </c>
      <c r="G24" s="1"/>
    </row>
    <row r="25" spans="1:7" x14ac:dyDescent="0.35">
      <c r="A25" s="1"/>
      <c r="B25" s="75"/>
      <c r="C25" s="22"/>
      <c r="D25" s="22"/>
      <c r="E25" s="22"/>
      <c r="F25" s="76"/>
      <c r="G25" s="1"/>
    </row>
    <row r="26" spans="1:7" ht="33.75" customHeight="1" x14ac:dyDescent="0.35">
      <c r="A26" s="1"/>
      <c r="B26" s="1"/>
      <c r="C26" s="1"/>
      <c r="D26" s="1"/>
      <c r="E26" s="1"/>
      <c r="F26" s="1"/>
      <c r="G26" s="1"/>
    </row>
    <row r="27" spans="1:7" ht="28.5" customHeight="1" x14ac:dyDescent="0.35">
      <c r="A27" s="1"/>
      <c r="B27" s="113" t="s">
        <v>122</v>
      </c>
      <c r="C27" s="114"/>
      <c r="D27" s="114"/>
      <c r="E27" s="114"/>
      <c r="F27" s="115"/>
      <c r="G27" s="1"/>
    </row>
    <row r="28" spans="1:7" x14ac:dyDescent="0.35">
      <c r="A28" s="1"/>
      <c r="B28" s="123" t="s">
        <v>61</v>
      </c>
      <c r="C28" s="124"/>
      <c r="D28" s="125"/>
      <c r="E28" s="8">
        <f>IF(AND(E9&gt;0,E24&gt;0),0,IF(AND(E9&lt;0,E24&lt;0),E15+E16+E24,IF(AND(E9&lt;0,E24&gt;0),E15+E16,IF(AND(E9&gt;0,E24&lt;0,E10=0),E24,IF(AND(E9&gt;0,E24&lt;0,ABS(E10)&gt;ABS(E24)),0,IF(AND(E9&gt;0,E24&lt;0,ABS(E10)&lt;ABS(E24)),(E10-ABS(E24)),"fejl"))))))</f>
        <v>-126308.06000865241</v>
      </c>
      <c r="F28" s="12" t="s">
        <v>3</v>
      </c>
      <c r="G28" s="1"/>
    </row>
    <row r="29" spans="1:7" x14ac:dyDescent="0.35">
      <c r="A29" s="1"/>
      <c r="B29" s="123" t="s">
        <v>44</v>
      </c>
      <c r="C29" s="124"/>
      <c r="D29" s="125"/>
      <c r="E29" s="8">
        <v>2</v>
      </c>
      <c r="F29" s="12" t="s">
        <v>17</v>
      </c>
      <c r="G29" s="1"/>
    </row>
    <row r="30" spans="1:7" x14ac:dyDescent="0.35">
      <c r="A30" s="1"/>
      <c r="B30" s="116" t="s">
        <v>73</v>
      </c>
      <c r="C30" s="116"/>
      <c r="D30" s="116"/>
      <c r="E30" s="9">
        <f>E28/E29</f>
        <v>-63154.030004326203</v>
      </c>
      <c r="F30" s="15" t="s">
        <v>3</v>
      </c>
      <c r="G30" s="1"/>
    </row>
    <row r="31" spans="1:7" x14ac:dyDescent="0.35">
      <c r="A31" s="1"/>
      <c r="B31" s="117"/>
      <c r="C31" s="118"/>
      <c r="D31" s="118"/>
      <c r="E31" s="118"/>
      <c r="F31" s="119"/>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B37" s="30"/>
      <c r="C37" s="30"/>
      <c r="D37" s="30"/>
      <c r="E37" s="30"/>
      <c r="F37" s="30"/>
    </row>
    <row r="38" spans="1:7" x14ac:dyDescent="0.35">
      <c r="A38" s="30"/>
      <c r="B38" s="30"/>
      <c r="C38" s="30"/>
      <c r="D38" s="30"/>
      <c r="E38" s="30"/>
      <c r="F38" s="30"/>
      <c r="G38" s="30"/>
    </row>
    <row r="39" spans="1:7" x14ac:dyDescent="0.35">
      <c r="A39" s="30"/>
      <c r="B39" s="30"/>
      <c r="C39" s="30"/>
      <c r="D39" s="30"/>
      <c r="E39" s="30"/>
      <c r="F39" s="30"/>
      <c r="G39" s="30"/>
    </row>
    <row r="40" spans="1:7" x14ac:dyDescent="0.35">
      <c r="A40" s="30"/>
      <c r="B40" s="30"/>
      <c r="C40" s="30"/>
      <c r="D40" s="30"/>
      <c r="E40" s="30"/>
      <c r="F40" s="30"/>
      <c r="G40" s="30"/>
    </row>
    <row r="41" spans="1:7" x14ac:dyDescent="0.35">
      <c r="A41" s="30"/>
      <c r="B41" s="30"/>
      <c r="C41" s="30"/>
      <c r="D41" s="30"/>
      <c r="E41" s="30"/>
      <c r="F41" s="30"/>
      <c r="G41" s="30"/>
    </row>
    <row r="42" spans="1:7" x14ac:dyDescent="0.35">
      <c r="A42" s="30"/>
      <c r="B42" s="30"/>
      <c r="C42" s="30"/>
      <c r="D42" s="30"/>
      <c r="E42" s="30"/>
      <c r="F42" s="30"/>
      <c r="G42" s="30"/>
    </row>
    <row r="43" spans="1:7" x14ac:dyDescent="0.35">
      <c r="A43" s="30"/>
      <c r="B43" s="30"/>
      <c r="C43" s="30"/>
      <c r="D43" s="30"/>
      <c r="E43" s="30"/>
      <c r="F43" s="30"/>
      <c r="G43" s="30"/>
    </row>
    <row r="44" spans="1:7" x14ac:dyDescent="0.35">
      <c r="A44" s="30"/>
      <c r="B44" s="30"/>
      <c r="C44" s="30"/>
      <c r="D44" s="30"/>
      <c r="E44" s="30"/>
      <c r="F44" s="30"/>
      <c r="G44" s="30"/>
    </row>
    <row r="45" spans="1:7" x14ac:dyDescent="0.35">
      <c r="A45" s="30"/>
      <c r="B45" s="30"/>
      <c r="C45" s="30"/>
      <c r="D45" s="30"/>
      <c r="E45" s="30"/>
      <c r="F45" s="30"/>
      <c r="G45" s="30"/>
    </row>
  </sheetData>
  <sheetProtection algorithmName="SHA-512" hashValue="px/trmu6O2imvokbMu+/jxSl8KR6rje9HfnhjmOq4pkOU0kRtmJCQP3ZTFgryz5f/+S4q7TYQ+Sjv07u3Kag1g==" saltValue="WKHMyh8vWwpi2V7DBdZ75g=="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796875" defaultRowHeight="14.5" x14ac:dyDescent="0.35"/>
  <cols>
    <col min="1" max="1" width="4.81640625" style="2" customWidth="1"/>
    <col min="2" max="2" width="8.1796875" style="2" customWidth="1"/>
    <col min="3" max="3" width="37.7265625" style="2" customWidth="1"/>
    <col min="4" max="4" width="15.54296875" style="2" customWidth="1"/>
    <col min="5" max="5" width="9.26953125" style="2" customWidth="1"/>
    <col min="6" max="6" width="3.54296875" style="2" customWidth="1"/>
    <col min="7" max="7" width="4"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4" t="s">
        <v>128</v>
      </c>
      <c r="C3" s="94"/>
      <c r="D3" s="94"/>
      <c r="E3" s="94"/>
      <c r="F3" s="94"/>
      <c r="G3" s="1"/>
    </row>
    <row r="4" spans="1:7" ht="15" customHeight="1" x14ac:dyDescent="0.35">
      <c r="A4" s="1"/>
      <c r="B4" s="94"/>
      <c r="C4" s="94"/>
      <c r="D4" s="94"/>
      <c r="E4" s="94"/>
      <c r="F4" s="94"/>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32" t="s">
        <v>129</v>
      </c>
      <c r="C9" s="132"/>
      <c r="D9" s="132"/>
      <c r="E9" s="132"/>
      <c r="F9" s="132"/>
      <c r="G9" s="1"/>
    </row>
    <row r="10" spans="1:7" ht="15" customHeight="1" x14ac:dyDescent="0.35">
      <c r="A10" s="1"/>
      <c r="B10" s="100" t="s">
        <v>130</v>
      </c>
      <c r="C10" s="100"/>
      <c r="D10" s="100"/>
      <c r="E10" s="7">
        <v>36119.126954614345</v>
      </c>
      <c r="F10" s="64" t="s">
        <v>3</v>
      </c>
      <c r="G10" s="1"/>
    </row>
    <row r="11" spans="1:7" x14ac:dyDescent="0.35">
      <c r="A11" s="1"/>
      <c r="B11" s="133" t="s">
        <v>131</v>
      </c>
      <c r="C11" s="133"/>
      <c r="D11" s="133"/>
      <c r="E11" s="7">
        <v>0</v>
      </c>
      <c r="F11" s="64" t="s">
        <v>3</v>
      </c>
      <c r="G11" s="1"/>
    </row>
    <row r="12" spans="1:7" x14ac:dyDescent="0.35">
      <c r="A12" s="1"/>
      <c r="B12" s="116" t="s">
        <v>132</v>
      </c>
      <c r="C12" s="116"/>
      <c r="D12" s="116"/>
      <c r="E12" s="9">
        <f>E11-E10</f>
        <v>-36119.126954614345</v>
      </c>
      <c r="F12" s="57" t="s">
        <v>3</v>
      </c>
      <c r="G12" s="1"/>
    </row>
    <row r="13" spans="1:7" x14ac:dyDescent="0.35">
      <c r="A13" s="1"/>
      <c r="B13" s="132" t="s">
        <v>133</v>
      </c>
      <c r="C13" s="132"/>
      <c r="D13" s="132"/>
      <c r="E13" s="132"/>
      <c r="F13" s="132"/>
      <c r="G13" s="1"/>
    </row>
    <row r="14" spans="1:7" x14ac:dyDescent="0.35">
      <c r="A14" s="1"/>
      <c r="B14" s="133" t="s">
        <v>134</v>
      </c>
      <c r="C14" s="133"/>
      <c r="D14" s="133"/>
      <c r="E14" s="8">
        <v>0</v>
      </c>
      <c r="F14" s="64" t="s">
        <v>3</v>
      </c>
      <c r="G14" s="1"/>
    </row>
    <row r="15" spans="1:7" x14ac:dyDescent="0.35">
      <c r="A15" s="1"/>
      <c r="B15" s="133" t="s">
        <v>135</v>
      </c>
      <c r="C15" s="133"/>
      <c r="D15" s="133"/>
      <c r="E15" s="8">
        <v>0</v>
      </c>
      <c r="F15" s="64" t="s">
        <v>3</v>
      </c>
      <c r="G15" s="1"/>
    </row>
    <row r="16" spans="1:7" x14ac:dyDescent="0.35">
      <c r="A16" s="1"/>
      <c r="B16" s="116" t="s">
        <v>132</v>
      </c>
      <c r="C16" s="116"/>
      <c r="D16" s="116"/>
      <c r="E16" s="9">
        <f>E15-E14</f>
        <v>0</v>
      </c>
      <c r="F16" s="57" t="s">
        <v>3</v>
      </c>
      <c r="G16" s="1"/>
    </row>
    <row r="17" spans="1:7" x14ac:dyDescent="0.35">
      <c r="A17" s="1"/>
      <c r="B17" s="56" t="s">
        <v>136</v>
      </c>
      <c r="C17" s="56"/>
      <c r="D17" s="56"/>
      <c r="E17" s="10">
        <f>E12+E16</f>
        <v>-36119.126954614345</v>
      </c>
      <c r="F17" s="11" t="s">
        <v>3</v>
      </c>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II48W+pilHKJyeAQZBE9xgkJM60ihFkGKymSGlxpTp7N4Jlr9b54qk4GaIlNKGWl+0ZHHNKtOWA65iruxsNJbw==" saltValue="8GIJpgsZGdwBJrsp5QSGhQ==" spinCount="100000" sheet="1" objects="1" scenarios="1"/>
  <mergeCells count="9">
    <mergeCell ref="B13:F13"/>
    <mergeCell ref="B14:D14"/>
    <mergeCell ref="B15:D15"/>
    <mergeCell ref="B16:D16"/>
    <mergeCell ref="B3:F4"/>
    <mergeCell ref="B9:F9"/>
    <mergeCell ref="B10:D10"/>
    <mergeCell ref="B11:D11"/>
    <mergeCell ref="B12:D12"/>
  </mergeCells>
  <pageMargins left="0.75"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17</vt:i4>
      </vt:variant>
    </vt:vector>
  </HeadingPairs>
  <TitlesOfParts>
    <vt:vector size="17"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Korrektion af ØR2021</vt:lpstr>
      <vt:lpstr>Fane 7. Skattesagen</vt:lpstr>
      <vt:lpstr>Fane 8. Anlægsprojekter (§ 19)</vt:lpstr>
      <vt:lpstr>Fane 9.1. Varige tillæg</vt:lpstr>
      <vt:lpstr>Fane 9.2. Engangstillæg</vt:lpstr>
      <vt:lpstr>Fane 10. Periodevise driftsomk.</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2022-08-23T19:01:58Z</dcterms:modified>
</cp:coreProperties>
</file>