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Rudersdal AS (S08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5" i="15" l="1"/>
  <c r="C32" i="2"/>
  <c r="C16" i="19"/>
  <c r="C17" i="19" s="1"/>
  <c r="G32" i="36" l="1"/>
  <c r="G24" i="36"/>
  <c r="G31" i="36" s="1"/>
  <c r="G6" i="36"/>
  <c r="G10" i="36" s="1"/>
  <c r="G34" i="30"/>
  <c r="G13" i="36" l="1"/>
  <c r="G17" i="36" s="1"/>
  <c r="G19" i="36" l="1"/>
  <c r="G23" i="36"/>
  <c r="G30" i="36" s="1"/>
  <c r="G34" i="36" l="1"/>
  <c r="E23" i="27" s="1"/>
  <c r="G38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19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6" i="36" l="1"/>
  <c r="C9" i="22"/>
  <c r="C10" i="23"/>
  <c r="C10" i="22"/>
  <c r="C9" i="15"/>
  <c r="C9" i="23"/>
  <c r="C10" i="15"/>
  <c r="E37" i="39"/>
  <c r="C37" i="39"/>
  <c r="E29" i="39"/>
  <c r="C29" i="39"/>
  <c r="E21" i="39"/>
  <c r="C21" i="39"/>
  <c r="E13" i="39"/>
  <c r="E15" i="39" s="1"/>
  <c r="C13" i="39"/>
  <c r="E14" i="39" l="1"/>
  <c r="C23" i="39"/>
  <c r="C22" i="39"/>
  <c r="C39" i="39"/>
  <c r="C38" i="39"/>
  <c r="E23" i="39"/>
  <c r="E22" i="39"/>
  <c r="E39" i="39"/>
  <c r="E38" i="39"/>
  <c r="C15" i="39"/>
  <c r="C14" i="39"/>
  <c r="C31" i="39"/>
  <c r="C30" i="39"/>
  <c r="E31" i="39"/>
  <c r="E30" i="39"/>
  <c r="C32" i="39" l="1"/>
  <c r="C21" i="22" s="1"/>
  <c r="C40" i="39"/>
  <c r="C21" i="23" s="1"/>
  <c r="C24" i="39"/>
  <c r="C21" i="15" s="1"/>
  <c r="E24" i="39"/>
  <c r="C22" i="15" s="1"/>
  <c r="E32" i="39"/>
  <c r="C22" i="22" s="1"/>
  <c r="E40" i="39"/>
  <c r="C22" i="23" s="1"/>
  <c r="E16" i="39"/>
  <c r="C27" i="2" s="1"/>
  <c r="C16" i="39"/>
  <c r="C26" i="2" s="1"/>
  <c r="C23" i="22" l="1"/>
  <c r="C23" i="23"/>
  <c r="C23" i="15"/>
  <c r="C28" i="2"/>
  <c r="G26" i="36" l="1"/>
  <c r="G15" i="30"/>
  <c r="G19" i="30" l="1"/>
  <c r="G25" i="30" s="1"/>
  <c r="G21" i="30" l="1"/>
  <c r="G28" i="30"/>
  <c r="G32" i="30"/>
  <c r="F11" i="11" l="1"/>
  <c r="C10" i="37" s="1"/>
  <c r="C13" i="37" s="1"/>
  <c r="C14" i="37" s="1"/>
  <c r="C10" i="2" s="1"/>
  <c r="G11" i="11"/>
  <c r="E11" i="21" l="1"/>
  <c r="C11" i="21"/>
  <c r="E11" i="29"/>
  <c r="C11" i="29"/>
  <c r="C17" i="23" l="1"/>
  <c r="C17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3" i="37" s="1"/>
  <c r="E14" i="37" s="1"/>
  <c r="C11" i="2" s="1"/>
  <c r="G39" i="36" s="1"/>
  <c r="G40" i="30"/>
  <c r="G42" i="30" s="1"/>
  <c r="G46" i="30" s="1"/>
  <c r="G49" i="30" s="1"/>
  <c r="E22" i="27"/>
  <c r="E24" i="27" s="1"/>
  <c r="G40" i="36" l="1"/>
  <c r="C19" i="2" s="1"/>
  <c r="G45" i="36"/>
  <c r="C18" i="2"/>
  <c r="E35" i="27"/>
  <c r="C9" i="2"/>
  <c r="C13" i="15"/>
  <c r="G44" i="36" l="1"/>
  <c r="G47" i="36" s="1"/>
  <c r="G52" i="36" s="1"/>
  <c r="C16" i="2"/>
  <c r="C17" i="2" s="1"/>
  <c r="G54" i="30"/>
  <c r="C20" i="2" l="1"/>
  <c r="C35" i="2" s="1"/>
  <c r="G54" i="36"/>
  <c r="C14" i="22" s="1"/>
  <c r="C14" i="15"/>
  <c r="G56" i="30"/>
  <c r="C13" i="22" s="1"/>
  <c r="G58" i="36" l="1"/>
  <c r="G60" i="30"/>
  <c r="G62" i="30" s="1"/>
  <c r="C13" i="23" s="1"/>
  <c r="C8" i="15"/>
  <c r="C11" i="15" s="1"/>
  <c r="G60" i="36" l="1"/>
  <c r="C14" i="23" s="1"/>
  <c r="C12" i="15"/>
  <c r="C15" i="15" s="1"/>
  <c r="C28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<sst xmlns="http://schemas.openxmlformats.org/spreadsheetml/2006/main" count="728" uniqueCount="292">
  <si>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</si>
  <si>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</si>
  <si>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</si>
  <si>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</si>
  <si>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</si>
  <si>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</si>
  <si>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</si>
  <si>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</si>
  <si>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</si>
  <si>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</si>
  <si>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</si>
  <si>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</si>
  <si>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</si>
  <si>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</si>
  <si>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</si>
  <si>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</si>
  <si>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</si>
  <si>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</si>
  <si>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</si>
  <si>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</si>
  <si>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</si>
  <si>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</si>
  <si>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</si>
  <si>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</si>
  <si>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</si>
  <si>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</si>
  <si>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</si>
  <si>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</si>
  <si>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</si>
  <si>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</si>
  <si>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</si>
  <si>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</si>
  <si>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</si>
  <si>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</si>
  <si>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</si>
  <si>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</si>
  <si>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</si>
  <si>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</si>
  <si>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</si>
  <si>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</si>
  <si>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</si>
  <si>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</si>
  <si>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</si>
  <si>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</si>
  <si>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</si>
  <si>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</si>
  <si>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</si>
  <si>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</si>
  <si>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</si>
  <si>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</si>
  <si>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</si>
  <si>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</si>
  <si>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</si>
  <si>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</si>
  <si>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</si>
  <si>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</si>
  <si>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</si>
  <si>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</si>
  <si>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</si>
  <si>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</si>
  <si>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</si>
  <si>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</si>
  <si>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</si>
  <si>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</si>
  <si>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</si>
  <si>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</si>
  <si>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</si>
  <si>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</si>
  <si>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</si>
  <si>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</si>
  <si>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</si>
  <si>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</si>
  <si>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</si>
  <si>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</si>
  <si>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</si>
  <si>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</si>
  <si>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</si>
  <si>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</si>
  <si>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</si>
  <si>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</si>
  <si>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</si>
  <si>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</si>
  <si>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</si>
  <si>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</si>
  <si>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</si>
  <si>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</si>
  <si>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</si>
  <si>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</si>
  <si>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</si>
  <si>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</si>
  <si>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</si>
  <si>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</si>
  <si>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</si>
  <si>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</si>
  <si>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</si>
  <si>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</si>
  <si>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</si>
  <si>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</si>
  <si>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</si>
  <si>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</si>
  <si>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</si>
  <si>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</si>
  <si>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</si>
  <si>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</si>
  <si>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</si>
  <si>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</si>
  <si>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</si>
  <si>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</si>
  <si>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</si>
  <si>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</si>
  <si>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</si>
  <si>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</si>
  <si>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</si>
  <si>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</si>
  <si>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</si>
  <si>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</si>
  <si>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</si>
  <si>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</si>
  <si>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</si>
  <si>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</si>
  <si>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</si>
  <si>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</si>
  <si>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</si>
  <si>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</si>
  <si>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</si>
  <si>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</si>
  <si>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</si>
  <si>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</si>
  <si>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</si>
  <si>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</si>
  <si>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</si>
  <si>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</si>
  <si>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</si>
  <si>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</si>
  <si>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</si>
  <si>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</si>
  <si>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</si>
  <si>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</si>
  <si>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</si>
  <si>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</si>
  <si>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</si>
  <si>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</si>
  <si>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</si>
  <si>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</si>
  <si>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</si>
  <si>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</si>
  <si>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</si>
  <si>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</si>
  <si>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</si>
  <si>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</si>
  <si>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</si>
  <si>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</si>
  <si>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</si>
  <si>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</si>
  <si>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</si>
  <si>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</si>
  <si>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</si>
  <si>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</si>
  <si>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</si>
  <si>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</si>
  <si>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</si>
  <si>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</si>
  <si>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</si>
  <si>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</si>
  <si>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</si>
  <si>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</si>
  <si>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</si>
  <si>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</si>
  <si>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</si>
  <si>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</si>
  <si>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</si>
  <si>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</si>
  <si>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</si>
  <si>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</si>
  <si>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</si>
  <si>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</si>
  <si>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</si>
  <si>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</si>
  <si>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</si>
  <si>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</si>
  <si>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</si>
  <si>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</si>
  <si>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</si>
  <si>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</si>
  <si>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</si>
  <si>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</si>
  <si>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</si>
  <si>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</si>
  <si>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</si>
  <si>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</si>
  <si>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</si>
  <si>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</si>
  <si>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</si>
  <si>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</si>
  <si>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</si>
  <si>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</si>
  <si>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</si>
  <si>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</si>
  <si>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</si>
  <si>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</si>
  <si>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</si>
  <si>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</si>
  <si>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</si>
  <si>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</si>
  <si>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</si>
  <si>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</si>
  <si>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</si>
  <si>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</si>
  <si>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</si>
  <si>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</si>
  <si>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</si>
  <si>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</si>
  <si>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</si>
  <si>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</si>
  <si>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</si>
  <si>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</si>
  <si>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</si>
  <si>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</si>
  <si>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</si>
  <si>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</si>
  <si>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</si>
  <si>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</si>
  <si>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</si>
  <si>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</si>
  <si>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</si>
  <si>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</si>
  <si>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</si>
  <si>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</si>
  <si>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</si>
  <si>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</si>
  <si>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</si>
  <si>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</si>
  <si>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</si>
  <si>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</si>
  <si>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</si>
  <si>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</si>
  <si>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</si>
  <si>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</si>
  <si>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</si>
  <si>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</si>
  <si>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</si>
  <si>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</si>
  <si>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</si>
  <si>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</si>
  <si>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</si>
  <si>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</si>
  <si>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</si>
  <si>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</si>
  <si>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</si>
  <si>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</si>
  <si>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</si>
  <si>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</si>
  <si>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</si>
  <si>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</si>
  <si>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</si>
  <si>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</si>
  <si>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</si>
  <si>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</si>
  <si>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</si>
  <si>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</si>
  <si>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</si>
  <si>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</si>
  <si>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</si>
  <si>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</si>
  <si>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</si>
  <si>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</si>
  <si>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</si>
  <si>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</si>
  <si>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</si>
  <si>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</si>
  <si>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</si>
  <si>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</si>
  <si>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</si>
  <si>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</si>
  <si>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</si>
  <si>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</si>
  <si>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</si>
  <si>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</si>
  <si>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</si>
  <si>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</si>
  <si>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</si>
  <si>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</si>
  <si>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</si>
  <si>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</si>
  <si>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</si>
  <si>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</si>
  <si>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Oprensning af Bistruprenden mm.</t>
  </si>
  <si>
    <t>Udvidelse af forsyningsområde</t>
  </si>
  <si>
    <t xml:space="preserve">Flytning af ledninger 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</si>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</sst>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6" t="s">
        <v>174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175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176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136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177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132</v>
      </c>
      <c r="D17" s="77" t="s">
        <v>178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110</v>
      </c>
      <c r="D18" s="80" t="s">
        <v>94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111</v>
      </c>
      <c r="D19" s="80" t="s">
        <v>95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112</v>
      </c>
      <c r="D21" s="68" t="s">
        <v>13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75</v>
      </c>
      <c r="D22" s="71" t="s">
        <v>179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180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113</v>
      </c>
      <c r="D25" s="71" t="s">
        <v>76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114</v>
      </c>
      <c r="D26" s="71" t="s">
        <v>77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115</v>
      </c>
      <c r="D27" s="71" t="s">
        <v>78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16</v>
      </c>
      <c r="D28" s="71" t="s">
        <v>135</v>
      </c>
      <c r="E28" s="72"/>
      <c r="F28" s="72"/>
      <c r="G28" s="73"/>
      <c r="H28" s="1"/>
      <c r="I28" s="1"/>
    </row>
    <row r="29" spans="1:9" x14ac:dyDescent="0.2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25">
      <c r="A30" s="1"/>
      <c r="B30" s="1"/>
      <c r="C30" s="6" t="s">
        <v>42</v>
      </c>
      <c r="D30" s="65" t="s">
        <v>108</v>
      </c>
      <c r="E30" s="66"/>
      <c r="F30" s="66"/>
      <c r="G30" s="6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KVNrANdWq8Uh0y4VIKAtcE+bbt7i9AKMlByp0c5Vz0rnsFQd2H2SJVylEwNrjBF7IUjdm0i/Pu5PNNiL+CNsg==" saltValue="c4jTjE/Sb2DJdsoDCCyr5g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3" t="s">
        <v>119</v>
      </c>
      <c r="C3" s="83"/>
      <c r="D3" s="83"/>
      <c r="E3" s="1"/>
      <c r="F3" s="1"/>
    </row>
    <row r="4" spans="1:6" ht="15" customHeight="1" x14ac:dyDescent="0.25">
      <c r="A4" s="1"/>
      <c r="B4" s="83"/>
      <c r="C4" s="83"/>
      <c r="D4" s="8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197</v>
      </c>
      <c r="C8" s="114"/>
      <c r="D8" s="115"/>
      <c r="E8" s="1"/>
      <c r="F8" s="1"/>
    </row>
    <row r="9" spans="1:6" ht="15" customHeight="1" x14ac:dyDescent="0.25">
      <c r="A9" s="1"/>
      <c r="B9" s="45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1050456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93406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269</v>
      </c>
      <c r="C12" s="9">
        <v>15375177</v>
      </c>
      <c r="D12" s="14" t="s">
        <v>3</v>
      </c>
      <c r="E12" s="1"/>
      <c r="F12" s="1"/>
    </row>
    <row r="13" spans="1:6" ht="15" customHeight="1" x14ac:dyDescent="0.25">
      <c r="A13" s="1"/>
      <c r="B13" s="54" t="s">
        <v>270</v>
      </c>
      <c r="C13" s="9">
        <v>131647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497057</v>
      </c>
      <c r="D14" s="14" t="s">
        <v>3</v>
      </c>
      <c r="E14" s="1"/>
      <c r="F14" s="1"/>
    </row>
    <row r="15" spans="1:6" x14ac:dyDescent="0.25">
      <c r="A15" s="1"/>
      <c r="B15" s="54" t="s">
        <v>272</v>
      </c>
      <c r="C15" s="9">
        <v>7588</v>
      </c>
      <c r="D15" s="14" t="s">
        <v>3</v>
      </c>
      <c r="E15" s="1"/>
      <c r="F15" s="1"/>
    </row>
    <row r="16" spans="1:6" x14ac:dyDescent="0.25">
      <c r="A16" s="1"/>
      <c r="B16" s="35" t="s">
        <v>199</v>
      </c>
      <c r="C16" s="12">
        <f>SUM(C10:C15)</f>
        <v>17155331</v>
      </c>
      <c r="D16" s="13" t="s">
        <v>3</v>
      </c>
      <c r="E16" s="1"/>
      <c r="F16" s="1"/>
    </row>
    <row r="17" spans="1:6" x14ac:dyDescent="0.25">
      <c r="A17" s="1"/>
      <c r="B17" s="35" t="s">
        <v>200</v>
      </c>
      <c r="C17" s="12">
        <f>C16*(1+'Fane 14. Nøgletal'!C14)^2</f>
        <v>17268743.006154593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13" t="s">
        <v>128</v>
      </c>
      <c r="C20" s="114"/>
      <c r="D20" s="115"/>
      <c r="E20" s="1"/>
      <c r="F20" s="1"/>
    </row>
    <row r="21" spans="1:6" x14ac:dyDescent="0.25">
      <c r="A21" s="1"/>
      <c r="B21" s="54" t="s">
        <v>100</v>
      </c>
      <c r="C21" s="9">
        <v>290617</v>
      </c>
      <c r="D21" s="14" t="s">
        <v>3</v>
      </c>
      <c r="E21" s="1"/>
      <c r="F21" s="1"/>
    </row>
    <row r="22" spans="1:6" x14ac:dyDescent="0.25">
      <c r="A22" s="1"/>
      <c r="B22" s="54" t="s">
        <v>101</v>
      </c>
      <c r="C22" s="9">
        <v>290617</v>
      </c>
      <c r="D22" s="14" t="s">
        <v>3</v>
      </c>
      <c r="E22" s="1"/>
      <c r="F22" s="1"/>
    </row>
    <row r="23" spans="1:6" x14ac:dyDescent="0.25">
      <c r="A23" s="1"/>
      <c r="B23" s="54" t="s">
        <v>141</v>
      </c>
      <c r="C23" s="9">
        <v>290617</v>
      </c>
      <c r="D23" s="14" t="s">
        <v>3</v>
      </c>
      <c r="E23" s="1"/>
      <c r="F23" s="1"/>
    </row>
    <row r="24" spans="1:6" x14ac:dyDescent="0.25">
      <c r="A24" s="1"/>
      <c r="B24" s="54" t="s">
        <v>201</v>
      </c>
      <c r="C24" s="9">
        <v>290617</v>
      </c>
      <c r="D24" s="14" t="s">
        <v>3</v>
      </c>
      <c r="E24" s="1"/>
      <c r="F24" s="1"/>
    </row>
    <row r="25" spans="1:6" x14ac:dyDescent="0.25">
      <c r="A25" s="1"/>
      <c r="B25" s="113"/>
      <c r="C25" s="114"/>
      <c r="D25" s="115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13" t="s">
        <v>99</v>
      </c>
      <c r="C28" s="114"/>
      <c r="D28" s="115"/>
      <c r="E28" s="1"/>
      <c r="F28" s="1"/>
    </row>
    <row r="29" spans="1:6" x14ac:dyDescent="0.25">
      <c r="A29" s="1"/>
      <c r="B29" s="54" t="s">
        <v>100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113"/>
      <c r="C33" s="114"/>
      <c r="D33" s="115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RgfevuxaKr8j9bpPgvPCnAXQIMitSjhPr7AjiitZwTmueyVV4Kr6a/PU7K/jRlxemNLeqCo51JRK9nHs0WFNTg==" saltValue="oE3TLAlvcP7hOrq9A/uic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140625" style="2"/>
    <col min="9" max="9" width="9.855468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274</v>
      </c>
      <c r="C8" s="114"/>
      <c r="D8" s="114"/>
      <c r="E8" s="114"/>
      <c r="F8" s="115"/>
      <c r="G8" s="1"/>
    </row>
    <row r="9" spans="1:7" x14ac:dyDescent="0.25">
      <c r="A9" s="1"/>
      <c r="B9" s="110" t="s">
        <v>275</v>
      </c>
      <c r="C9" s="111"/>
      <c r="D9" s="112"/>
      <c r="E9" s="9">
        <v>2024131.4320666641</v>
      </c>
      <c r="F9" s="14" t="s">
        <v>3</v>
      </c>
      <c r="G9" s="1"/>
    </row>
    <row r="10" spans="1:7" x14ac:dyDescent="0.25">
      <c r="A10" s="1"/>
      <c r="B10" s="110" t="s">
        <v>276</v>
      </c>
      <c r="C10" s="111"/>
      <c r="D10" s="112"/>
      <c r="E10" s="9">
        <v>2756148.6801899672</v>
      </c>
      <c r="F10" s="14" t="s">
        <v>3</v>
      </c>
      <c r="G10" s="1"/>
    </row>
    <row r="11" spans="1:7" x14ac:dyDescent="0.25">
      <c r="A11" s="1"/>
      <c r="B11" s="110" t="s">
        <v>277</v>
      </c>
      <c r="C11" s="111"/>
      <c r="D11" s="112"/>
      <c r="E11" s="9">
        <v>-3382888.8715750724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85" t="s">
        <v>278</v>
      </c>
      <c r="C13" s="86"/>
      <c r="D13" s="86"/>
      <c r="E13" s="86"/>
      <c r="F13" s="8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279</v>
      </c>
      <c r="C15" s="114"/>
      <c r="D15" s="114"/>
      <c r="E15" s="114"/>
      <c r="F15" s="115"/>
      <c r="G15" s="1"/>
    </row>
    <row r="16" spans="1:7" x14ac:dyDescent="0.25">
      <c r="A16" s="1"/>
      <c r="B16" s="110" t="s">
        <v>280</v>
      </c>
      <c r="C16" s="111"/>
      <c r="D16" s="112"/>
      <c r="E16" s="9">
        <v>0</v>
      </c>
      <c r="F16" s="14" t="s">
        <v>3</v>
      </c>
      <c r="G16" s="1"/>
    </row>
    <row r="17" spans="1:9" x14ac:dyDescent="0.25">
      <c r="A17" s="1"/>
      <c r="B17" s="110" t="s">
        <v>281</v>
      </c>
      <c r="C17" s="111"/>
      <c r="D17" s="112"/>
      <c r="E17" s="9">
        <v>0</v>
      </c>
      <c r="F17" s="14" t="s">
        <v>3</v>
      </c>
      <c r="G17" s="1"/>
    </row>
    <row r="18" spans="1:9" x14ac:dyDescent="0.25">
      <c r="A18" s="1"/>
      <c r="B18" s="35"/>
      <c r="C18" s="36"/>
      <c r="D18" s="36"/>
      <c r="E18" s="36"/>
      <c r="F18" s="20"/>
      <c r="G18" s="1"/>
    </row>
    <row r="19" spans="1:9" ht="31.5" customHeight="1" x14ac:dyDescent="0.25">
      <c r="A19" s="1"/>
      <c r="B19" s="85" t="s">
        <v>282</v>
      </c>
      <c r="C19" s="86"/>
      <c r="D19" s="86"/>
      <c r="E19" s="86"/>
      <c r="F19" s="87"/>
      <c r="G19" s="1"/>
    </row>
    <row r="20" spans="1:9" ht="28.5" customHeight="1" x14ac:dyDescent="0.25">
      <c r="A20" s="1"/>
      <c r="B20" s="1"/>
      <c r="C20" s="1"/>
      <c r="D20" s="1"/>
      <c r="E20" s="1"/>
      <c r="F20" s="1"/>
      <c r="G20" s="1"/>
    </row>
    <row r="21" spans="1:9" x14ac:dyDescent="0.25">
      <c r="A21" s="1"/>
      <c r="B21" s="58" t="s">
        <v>240</v>
      </c>
      <c r="C21" s="59"/>
      <c r="D21" s="59"/>
      <c r="E21" s="59"/>
      <c r="F21" s="60"/>
      <c r="G21" s="1"/>
    </row>
    <row r="22" spans="1:9" x14ac:dyDescent="0.25">
      <c r="A22" s="1"/>
      <c r="B22" s="55" t="s">
        <v>241</v>
      </c>
      <c r="C22" s="56"/>
      <c r="D22" s="57"/>
      <c r="E22" s="9">
        <v>74276751.607022971</v>
      </c>
      <c r="F22" s="14" t="s">
        <v>3</v>
      </c>
      <c r="G22" s="1"/>
    </row>
    <row r="23" spans="1:9" x14ac:dyDescent="0.25">
      <c r="A23" s="1"/>
      <c r="B23" s="55" t="s">
        <v>242</v>
      </c>
      <c r="C23" s="56"/>
      <c r="D23" s="57"/>
      <c r="E23" s="9">
        <v>78250697</v>
      </c>
      <c r="F23" s="14" t="s">
        <v>3</v>
      </c>
      <c r="G23" s="1"/>
    </row>
    <row r="24" spans="1:9" x14ac:dyDescent="0.2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9" x14ac:dyDescent="0.25">
      <c r="A25" s="1"/>
      <c r="B25" s="48" t="s">
        <v>283</v>
      </c>
      <c r="C25" s="49"/>
      <c r="D25" s="50"/>
      <c r="E25" s="38">
        <f>E22-(E23-E24)</f>
        <v>-3973945.3929770291</v>
      </c>
      <c r="F25" s="17" t="s">
        <v>3</v>
      </c>
      <c r="G25" s="1"/>
      <c r="I25" s="39"/>
    </row>
    <row r="26" spans="1:9" x14ac:dyDescent="0.25">
      <c r="A26" s="1"/>
      <c r="B26" s="35"/>
      <c r="C26" s="36"/>
      <c r="D26" s="36"/>
      <c r="E26" s="36"/>
      <c r="F26" s="20"/>
      <c r="G26" s="1"/>
    </row>
    <row r="27" spans="1:9" x14ac:dyDescent="0.25">
      <c r="A27" s="1"/>
      <c r="B27" s="1"/>
      <c r="C27" s="1"/>
      <c r="D27" s="1"/>
      <c r="E27" s="1"/>
      <c r="F27" s="1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3" t="s">
        <v>169</v>
      </c>
      <c r="C29" s="114"/>
      <c r="D29" s="114"/>
      <c r="E29" s="114"/>
      <c r="F29" s="115"/>
      <c r="G29" s="1"/>
    </row>
    <row r="30" spans="1:9" x14ac:dyDescent="0.2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-2576554.1522954702</v>
      </c>
      <c r="F30" s="14" t="s">
        <v>3</v>
      </c>
      <c r="G30" s="1"/>
    </row>
    <row r="31" spans="1:9" x14ac:dyDescent="0.2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9" x14ac:dyDescent="0.25">
      <c r="A32" s="1"/>
      <c r="B32" s="127" t="s">
        <v>172</v>
      </c>
      <c r="C32" s="127"/>
      <c r="D32" s="127"/>
      <c r="E32" s="10">
        <f>E30/E31</f>
        <v>-1288277.0761477351</v>
      </c>
      <c r="F32" s="17" t="s">
        <v>3</v>
      </c>
      <c r="G32" s="1"/>
    </row>
    <row r="33" spans="1:7" x14ac:dyDescent="0.25">
      <c r="A33" s="1"/>
      <c r="B33" s="121"/>
      <c r="C33" s="122"/>
      <c r="D33" s="122"/>
      <c r="E33" s="122"/>
      <c r="F33" s="12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4IWECeYiOZLadham55mb96hsjyjXhkp2hp+++HcxIRgG5ba/YI/6Ji5i9T1mNJGYiuuorjCpL395++0kwE7Ng==" saltValue="2fe4lJx3hYlDtI8uihDbt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203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3" t="s">
        <v>204</v>
      </c>
      <c r="C9" s="114"/>
      <c r="D9" s="114"/>
      <c r="E9" s="114"/>
      <c r="F9" s="114"/>
      <c r="G9" s="1"/>
    </row>
    <row r="10" spans="1:7" x14ac:dyDescent="0.25">
      <c r="A10" s="1"/>
      <c r="B10" s="85" t="s">
        <v>102</v>
      </c>
      <c r="C10" s="86"/>
      <c r="D10" s="87"/>
      <c r="E10" s="7">
        <v>0</v>
      </c>
      <c r="F10" s="8" t="s">
        <v>3</v>
      </c>
      <c r="G10" s="1"/>
    </row>
    <row r="11" spans="1:7" x14ac:dyDescent="0.25">
      <c r="A11" s="1"/>
      <c r="B11" s="110" t="s">
        <v>205</v>
      </c>
      <c r="C11" s="111"/>
      <c r="D11" s="112"/>
      <c r="E11" s="7">
        <v>0</v>
      </c>
      <c r="F11" s="8" t="s">
        <v>3</v>
      </c>
      <c r="G11" s="1"/>
    </row>
    <row r="12" spans="1:7" x14ac:dyDescent="0.25">
      <c r="A12" s="1"/>
      <c r="B12" s="97" t="s">
        <v>103</v>
      </c>
      <c r="C12" s="98"/>
      <c r="D12" s="99"/>
      <c r="E12" s="10">
        <f>E11-E10</f>
        <v>0</v>
      </c>
      <c r="F12" s="11" t="s">
        <v>3</v>
      </c>
      <c r="G12" s="1"/>
    </row>
    <row r="13" spans="1:7" x14ac:dyDescent="0.25">
      <c r="A13" s="1"/>
      <c r="B13" s="113" t="s">
        <v>93</v>
      </c>
      <c r="C13" s="114"/>
      <c r="D13" s="114"/>
      <c r="E13" s="114"/>
      <c r="F13" s="114"/>
      <c r="G13" s="1"/>
    </row>
    <row r="14" spans="1:7" x14ac:dyDescent="0.25">
      <c r="A14" s="1"/>
      <c r="B14" s="110" t="s">
        <v>206</v>
      </c>
      <c r="C14" s="111"/>
      <c r="D14" s="112"/>
      <c r="E14" s="9">
        <v>290617</v>
      </c>
      <c r="F14" s="8" t="s">
        <v>3</v>
      </c>
      <c r="G14" s="1"/>
    </row>
    <row r="15" spans="1:7" x14ac:dyDescent="0.25">
      <c r="A15" s="1"/>
      <c r="B15" s="85" t="s">
        <v>207</v>
      </c>
      <c r="C15" s="86"/>
      <c r="D15" s="87"/>
      <c r="E15" s="9">
        <v>177900</v>
      </c>
      <c r="F15" s="8" t="s">
        <v>3</v>
      </c>
      <c r="G15" s="1"/>
    </row>
    <row r="16" spans="1:7" x14ac:dyDescent="0.25">
      <c r="A16" s="1"/>
      <c r="B16" s="97" t="s">
        <v>103</v>
      </c>
      <c r="C16" s="98"/>
      <c r="D16" s="99"/>
      <c r="E16" s="10">
        <f>E15-E14</f>
        <v>-112717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-112717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kRbERfTGjtkGBPYt4NNv9lvDZxFGd6lgUCu4e23AF4Kt5mhGQbM20ey/Mm+UJGw/eMllqNgG95qoCLjmKresQ==" saltValue="MFUSmzX/LhtVHyUHT5Z4q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156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4"/>
      <c r="I9" s="1"/>
    </row>
    <row r="10" spans="1:9" x14ac:dyDescent="0.25">
      <c r="A10" s="1"/>
      <c r="B10" s="62" t="s">
        <v>290</v>
      </c>
      <c r="C10" s="4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157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YBmwuiMnDvZkqkIRn7SBcqPk0LBLJmBNfmL80llBYJkd/NZ+IuP+5WfCGuAQC2TMBU/PQ1bj8XhcNoCwREiog==" saltValue="/Ic+PgDREenBxuywtIuBD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2" t="s">
        <v>18</v>
      </c>
      <c r="C9" s="42" t="s">
        <v>12</v>
      </c>
      <c r="D9" s="43"/>
      <c r="E9" s="42" t="s">
        <v>34</v>
      </c>
      <c r="F9" s="64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288</v>
      </c>
      <c r="C11" s="22">
        <v>0</v>
      </c>
      <c r="D11" s="14" t="s">
        <v>3</v>
      </c>
      <c r="E11" s="9">
        <v>20600</v>
      </c>
      <c r="F11" s="14" t="s">
        <v>3</v>
      </c>
      <c r="G11" s="1"/>
    </row>
    <row r="12" spans="1:7" x14ac:dyDescent="0.25">
      <c r="A12" s="1"/>
      <c r="B12" s="41" t="s">
        <v>287</v>
      </c>
      <c r="C12" s="22">
        <v>167960</v>
      </c>
      <c r="D12" s="14" t="s">
        <v>3</v>
      </c>
      <c r="E12" s="9">
        <v>147988</v>
      </c>
      <c r="F12" s="14" t="s">
        <v>3</v>
      </c>
      <c r="G12" s="1"/>
    </row>
    <row r="13" spans="1:7" x14ac:dyDescent="0.25">
      <c r="A13" s="1"/>
      <c r="B13" s="35" t="s">
        <v>142</v>
      </c>
      <c r="C13" s="12">
        <f>SUM(C10:C12)</f>
        <v>167960</v>
      </c>
      <c r="D13" s="13" t="s">
        <v>3</v>
      </c>
      <c r="E13" s="12">
        <f>SUM(E10:E12)</f>
        <v>168588</v>
      </c>
      <c r="F13" s="13" t="s">
        <v>3</v>
      </c>
      <c r="G13" s="1"/>
    </row>
    <row r="14" spans="1:7" x14ac:dyDescent="0.25">
      <c r="A14" s="1"/>
      <c r="B14" s="35" t="s">
        <v>209</v>
      </c>
      <c r="C14" s="12">
        <f>C13*(1+'Fane 14. Nøgletal'!C14)</f>
        <v>168514.26800000001</v>
      </c>
      <c r="D14" s="13" t="s">
        <v>3</v>
      </c>
      <c r="E14" s="12">
        <f>E13*(1+'Fane 14. Nøgletal'!C14)</f>
        <v>169144.34040000002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BBi3BhmdXdi9M/8zM82M6BpTdlnOrz4V7XjcQkM897U5deSyPec6nkkdPf/HavcoGmSewnAvmv19Q6mRbwnNg==" saltValue="1EeCkDEKWaD7XbtSTyJa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96</v>
      </c>
      <c r="C8" s="114"/>
      <c r="D8" s="114"/>
      <c r="E8" s="114"/>
      <c r="F8" s="115"/>
      <c r="G8" s="1"/>
    </row>
    <row r="9" spans="1:7" x14ac:dyDescent="0.25">
      <c r="A9" s="1"/>
      <c r="B9" s="42" t="s">
        <v>18</v>
      </c>
      <c r="C9" s="42" t="s">
        <v>12</v>
      </c>
      <c r="D9" s="43"/>
      <c r="E9" s="42" t="s">
        <v>34</v>
      </c>
      <c r="F9" s="64"/>
      <c r="G9" s="1"/>
    </row>
    <row r="10" spans="1:7" x14ac:dyDescent="0.25">
      <c r="A10" s="1"/>
      <c r="B10" s="25" t="s">
        <v>286</v>
      </c>
      <c r="C10" s="22">
        <v>552851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41" t="s">
        <v>288</v>
      </c>
      <c r="C11" s="22">
        <v>0</v>
      </c>
      <c r="D11" s="14" t="s">
        <v>3</v>
      </c>
      <c r="E11" s="9">
        <v>8500</v>
      </c>
      <c r="F11" s="14" t="s">
        <v>3</v>
      </c>
      <c r="G11" s="1"/>
    </row>
    <row r="12" spans="1:7" x14ac:dyDescent="0.25">
      <c r="A12" s="1"/>
      <c r="B12" s="25" t="s">
        <v>287</v>
      </c>
      <c r="C12" s="22">
        <v>0</v>
      </c>
      <c r="D12" s="14" t="s">
        <v>3</v>
      </c>
      <c r="E12" s="9">
        <v>52466</v>
      </c>
      <c r="F12" s="14" t="s">
        <v>3</v>
      </c>
      <c r="G12" s="1"/>
    </row>
    <row r="13" spans="1:7" x14ac:dyDescent="0.25">
      <c r="A13" s="1"/>
      <c r="B13" s="35" t="s">
        <v>210</v>
      </c>
      <c r="C13" s="12">
        <f>SUM(C10:C12)</f>
        <v>552851</v>
      </c>
      <c r="D13" s="13" t="s">
        <v>3</v>
      </c>
      <c r="E13" s="12">
        <f>SUM(E10:E12)</f>
        <v>60966</v>
      </c>
      <c r="F13" s="13" t="s">
        <v>3</v>
      </c>
      <c r="G13" s="1"/>
    </row>
    <row r="14" spans="1:7" x14ac:dyDescent="0.25">
      <c r="A14" s="1"/>
      <c r="B14" s="27" t="s">
        <v>10</v>
      </c>
      <c r="C14" s="28">
        <f>-C13*'Fane 5. Individuelt eff. krav'!G11</f>
        <v>-876.48346983215731</v>
      </c>
      <c r="D14" s="29" t="s">
        <v>3</v>
      </c>
      <c r="E14" s="28">
        <f>-E13*'Fane 5. Individuelt eff. krav'!G11</f>
        <v>-96.654778994317283</v>
      </c>
      <c r="F14" s="29" t="s">
        <v>3</v>
      </c>
      <c r="G14" s="1"/>
    </row>
    <row r="15" spans="1:7" x14ac:dyDescent="0.25">
      <c r="A15" s="1"/>
      <c r="B15" s="27" t="s">
        <v>98</v>
      </c>
      <c r="C15" s="28">
        <f>-C13*'Fane 14. Nøgletal'!C29</f>
        <v>-11057.02</v>
      </c>
      <c r="D15" s="29" t="s">
        <v>3</v>
      </c>
      <c r="E15" s="28">
        <f>-E13*'Fane 14. Nøgletal'!C24</f>
        <v>-902.29680000000008</v>
      </c>
      <c r="F15" s="29" t="s">
        <v>3</v>
      </c>
      <c r="G15" s="1"/>
    </row>
    <row r="16" spans="1:7" x14ac:dyDescent="0.25">
      <c r="A16" s="1"/>
      <c r="B16" s="35" t="s">
        <v>143</v>
      </c>
      <c r="C16" s="12">
        <f>SUM(C13:C15)*(1+'Fane 14. Nøgletal'!C14)^2</f>
        <v>544493.44259880425</v>
      </c>
      <c r="D16" s="13" t="s">
        <v>3</v>
      </c>
      <c r="E16" s="12">
        <f>SUM(E13:E15)*(1+'Fane 14. Nøgletal'!C14)^2</f>
        <v>60363.483981741643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13" t="s">
        <v>97</v>
      </c>
      <c r="C18" s="114"/>
      <c r="D18" s="114"/>
      <c r="E18" s="114"/>
      <c r="F18" s="115"/>
      <c r="G18" s="1"/>
    </row>
    <row r="19" spans="1:7" x14ac:dyDescent="0.25">
      <c r="A19" s="1"/>
      <c r="B19" s="42" t="s">
        <v>18</v>
      </c>
      <c r="C19" s="42" t="s">
        <v>12</v>
      </c>
      <c r="D19" s="43"/>
      <c r="E19" s="42" t="s">
        <v>34</v>
      </c>
      <c r="F19" s="64"/>
      <c r="G19" s="1"/>
    </row>
    <row r="20" spans="1:7" x14ac:dyDescent="0.25">
      <c r="A20" s="1"/>
      <c r="B20" s="25" t="s">
        <v>289</v>
      </c>
      <c r="C20" s="22">
        <v>0</v>
      </c>
      <c r="D20" s="14" t="s">
        <v>3</v>
      </c>
      <c r="E20" s="22">
        <v>0</v>
      </c>
      <c r="F20" s="14" t="s">
        <v>3</v>
      </c>
      <c r="G20" s="1"/>
    </row>
    <row r="21" spans="1:7" x14ac:dyDescent="0.25">
      <c r="A21" s="1"/>
      <c r="B21" s="35" t="s">
        <v>210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7" t="s">
        <v>10</v>
      </c>
      <c r="C22" s="28">
        <f>-C21*'Fane 5. Individuelt eff. krav'!G11</f>
        <v>0</v>
      </c>
      <c r="D22" s="29" t="s">
        <v>3</v>
      </c>
      <c r="E22" s="28">
        <f>-E21*'Fane 5. Individuelt eff. krav'!G11</f>
        <v>0</v>
      </c>
      <c r="F22" s="29" t="s">
        <v>3</v>
      </c>
      <c r="G22" s="1"/>
    </row>
    <row r="23" spans="1:7" x14ac:dyDescent="0.25">
      <c r="A23" s="1"/>
      <c r="B23" s="27" t="s">
        <v>98</v>
      </c>
      <c r="C23" s="28">
        <f>-C21*'Fane 14. Nøgletal'!C29</f>
        <v>0</v>
      </c>
      <c r="D23" s="29" t="s">
        <v>3</v>
      </c>
      <c r="E23" s="28">
        <f>-E21*'Fane 14. Nøgletal'!C24</f>
        <v>0</v>
      </c>
      <c r="F23" s="29" t="s">
        <v>3</v>
      </c>
      <c r="G23" s="1"/>
    </row>
    <row r="24" spans="1:7" x14ac:dyDescent="0.25">
      <c r="A24" s="1"/>
      <c r="B24" s="35" t="s">
        <v>211</v>
      </c>
      <c r="C24" s="12">
        <f>SUM(C21:C23)*(1+'Fane 14. Nøgletal'!C14)^3</f>
        <v>0</v>
      </c>
      <c r="D24" s="13" t="s">
        <v>3</v>
      </c>
      <c r="E24" s="12">
        <f>SUM(E21:E23)*(1+'Fane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144</v>
      </c>
      <c r="C26" s="114"/>
      <c r="D26" s="114"/>
      <c r="E26" s="114"/>
      <c r="F26" s="115"/>
      <c r="G26" s="1"/>
    </row>
    <row r="27" spans="1:7" x14ac:dyDescent="0.25">
      <c r="A27" s="1"/>
      <c r="B27" s="42" t="s">
        <v>18</v>
      </c>
      <c r="C27" s="42" t="s">
        <v>12</v>
      </c>
      <c r="D27" s="43"/>
      <c r="E27" s="42" t="s">
        <v>34</v>
      </c>
      <c r="F27" s="64"/>
      <c r="G27" s="1"/>
    </row>
    <row r="28" spans="1:7" x14ac:dyDescent="0.25">
      <c r="A28" s="1"/>
      <c r="B28" s="25" t="s">
        <v>289</v>
      </c>
      <c r="C28" s="22">
        <v>0</v>
      </c>
      <c r="D28" s="14" t="s">
        <v>3</v>
      </c>
      <c r="E28" s="22">
        <v>0</v>
      </c>
      <c r="F28" s="14" t="s">
        <v>3</v>
      </c>
      <c r="G28" s="1"/>
    </row>
    <row r="29" spans="1:7" x14ac:dyDescent="0.25">
      <c r="A29" s="1"/>
      <c r="B29" s="35" t="s">
        <v>210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7" t="s">
        <v>10</v>
      </c>
      <c r="C30" s="28">
        <f>-C29*'Fane 5. Individuelt eff. krav'!G11</f>
        <v>0</v>
      </c>
      <c r="D30" s="29" t="s">
        <v>3</v>
      </c>
      <c r="E30" s="28">
        <f>-E29*'Fane 5. Individuelt eff. krav'!G11</f>
        <v>0</v>
      </c>
      <c r="F30" s="29" t="s">
        <v>3</v>
      </c>
      <c r="G30" s="1"/>
    </row>
    <row r="31" spans="1:7" x14ac:dyDescent="0.25">
      <c r="A31" s="1"/>
      <c r="B31" s="27" t="s">
        <v>98</v>
      </c>
      <c r="C31" s="28">
        <f>-C29*'Fane 14. Nøgletal'!C29</f>
        <v>0</v>
      </c>
      <c r="D31" s="29" t="s">
        <v>3</v>
      </c>
      <c r="E31" s="28">
        <f>-E29*'Fane 14. Nøgletal'!C24</f>
        <v>0</v>
      </c>
      <c r="F31" s="29" t="s">
        <v>3</v>
      </c>
      <c r="G31" s="1"/>
    </row>
    <row r="32" spans="1:7" x14ac:dyDescent="0.25">
      <c r="A32" s="1"/>
      <c r="B32" s="35" t="s">
        <v>213</v>
      </c>
      <c r="C32" s="12">
        <f>SUM(C29:C31)*(1+'Fane 14. Nøgletal'!C14)^4</f>
        <v>0</v>
      </c>
      <c r="D32" s="13" t="s">
        <v>3</v>
      </c>
      <c r="E32" s="12">
        <f>SUM(E29:E31)*(1+'Fane 14. Nøgletal'!C14)^4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3" t="s">
        <v>212</v>
      </c>
      <c r="C34" s="114"/>
      <c r="D34" s="114"/>
      <c r="E34" s="114"/>
      <c r="F34" s="115"/>
      <c r="G34" s="1"/>
    </row>
    <row r="35" spans="1:7" x14ac:dyDescent="0.25">
      <c r="A35" s="1"/>
      <c r="B35" s="42" t="s">
        <v>18</v>
      </c>
      <c r="C35" s="42" t="s">
        <v>12</v>
      </c>
      <c r="D35" s="43"/>
      <c r="E35" s="42" t="s">
        <v>34</v>
      </c>
      <c r="F35" s="64"/>
      <c r="G35" s="1"/>
    </row>
    <row r="36" spans="1:7" x14ac:dyDescent="0.25">
      <c r="A36" s="1"/>
      <c r="B36" s="25" t="s">
        <v>289</v>
      </c>
      <c r="C36" s="22">
        <v>0</v>
      </c>
      <c r="D36" s="14" t="s">
        <v>3</v>
      </c>
      <c r="E36" s="22">
        <v>0</v>
      </c>
      <c r="F36" s="14" t="s">
        <v>3</v>
      </c>
      <c r="G36" s="1"/>
    </row>
    <row r="37" spans="1:7" x14ac:dyDescent="0.25">
      <c r="A37" s="1"/>
      <c r="B37" s="35" t="s">
        <v>210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7" t="s">
        <v>10</v>
      </c>
      <c r="C38" s="28">
        <f>-C37*'Fane 5. Individuelt eff. krav'!G11</f>
        <v>0</v>
      </c>
      <c r="D38" s="29" t="s">
        <v>3</v>
      </c>
      <c r="E38" s="28">
        <f>-E37*'Fane 5. Individuelt eff. krav'!G11</f>
        <v>0</v>
      </c>
      <c r="F38" s="29" t="s">
        <v>3</v>
      </c>
      <c r="G38" s="1"/>
    </row>
    <row r="39" spans="1:7" x14ac:dyDescent="0.25">
      <c r="A39" s="1"/>
      <c r="B39" s="27" t="s">
        <v>98</v>
      </c>
      <c r="C39" s="28">
        <f>-C37*'Fane 14. Nøgletal'!C29</f>
        <v>0</v>
      </c>
      <c r="D39" s="29" t="s">
        <v>3</v>
      </c>
      <c r="E39" s="28">
        <f>-E37*'Fane 14. Nøgletal'!C24</f>
        <v>0</v>
      </c>
      <c r="F39" s="29" t="s">
        <v>3</v>
      </c>
      <c r="G39" s="1"/>
    </row>
    <row r="40" spans="1:7" x14ac:dyDescent="0.25">
      <c r="A40" s="1"/>
      <c r="B40" s="35" t="s">
        <v>214</v>
      </c>
      <c r="C40" s="12">
        <f>SUM(C37:C39)*(1+'Fane 14. Nøgletal'!C14)^5</f>
        <v>0</v>
      </c>
      <c r="D40" s="13" t="s">
        <v>3</v>
      </c>
      <c r="E40" s="12">
        <f>SUM(E37:E39)*(1+'Fane 14. Nøgletal'!C14)^5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oFU+SuelMqDRCLBo0xnSvPSMqVprYn22TIvR/D/WlZAKqvuBnupygnqDaajcINJGL1H1eZM2utHScayt3Uihw==" saltValue="ZfwFd/tphqpcRRmSXeVZ/Q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127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87</v>
      </c>
      <c r="C8" s="114"/>
      <c r="D8" s="114"/>
      <c r="E8" s="114"/>
      <c r="F8" s="115"/>
      <c r="G8" s="1"/>
    </row>
    <row r="9" spans="1:7" x14ac:dyDescent="0.2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25">
      <c r="A10" s="1"/>
      <c r="B10" s="100" t="s">
        <v>10</v>
      </c>
      <c r="C10" s="101"/>
      <c r="D10" s="10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100" t="s">
        <v>27</v>
      </c>
      <c r="C11" s="101"/>
      <c r="D11" s="10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3" t="s">
        <v>89</v>
      </c>
      <c r="C12" s="114"/>
      <c r="D12" s="11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88</v>
      </c>
      <c r="C14" s="114"/>
      <c r="D14" s="114"/>
      <c r="E14" s="114"/>
      <c r="F14" s="115"/>
      <c r="G14" s="1"/>
    </row>
    <row r="15" spans="1:7" x14ac:dyDescent="0.2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25">
      <c r="A16" s="1"/>
      <c r="B16" s="100" t="s">
        <v>10</v>
      </c>
      <c r="C16" s="101"/>
      <c r="D16" s="10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100" t="s">
        <v>27</v>
      </c>
      <c r="C17" s="101"/>
      <c r="D17" s="10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3" t="s">
        <v>90</v>
      </c>
      <c r="C18" s="114"/>
      <c r="D18" s="11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145</v>
      </c>
      <c r="C20" s="114"/>
      <c r="D20" s="114"/>
      <c r="E20" s="114"/>
      <c r="F20" s="115"/>
      <c r="G20" s="1"/>
    </row>
    <row r="21" spans="1:7" x14ac:dyDescent="0.2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25">
      <c r="A22" s="1"/>
      <c r="B22" s="100" t="s">
        <v>10</v>
      </c>
      <c r="C22" s="101"/>
      <c r="D22" s="10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100" t="s">
        <v>27</v>
      </c>
      <c r="C23" s="101"/>
      <c r="D23" s="10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3" t="s">
        <v>146</v>
      </c>
      <c r="C24" s="114"/>
      <c r="D24" s="11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216</v>
      </c>
      <c r="C26" s="114"/>
      <c r="D26" s="114"/>
      <c r="E26" s="114"/>
      <c r="F26" s="115"/>
      <c r="G26" s="1"/>
    </row>
    <row r="27" spans="1:7" x14ac:dyDescent="0.2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25">
      <c r="A28" s="1"/>
      <c r="B28" s="100" t="s">
        <v>10</v>
      </c>
      <c r="C28" s="101"/>
      <c r="D28" s="10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100" t="s">
        <v>27</v>
      </c>
      <c r="C29" s="101"/>
      <c r="D29" s="10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3" t="s">
        <v>217</v>
      </c>
      <c r="C30" s="114"/>
      <c r="D30" s="11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BIEdnSjM7GjRTOYL5Uaqu8a/R1OQtjA15d+193QAEGtxyMQ1DHOtrLVJwB8WFKtzbKIPExnFOLodJS+NelgTg==" saltValue="w7pfNDHxHq9Rz/TazbduYw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147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148</v>
      </c>
      <c r="C8" s="114"/>
      <c r="D8" s="114"/>
      <c r="E8" s="114"/>
      <c r="F8" s="115"/>
      <c r="G8" s="1"/>
    </row>
    <row r="9" spans="1:7" ht="15" customHeight="1" x14ac:dyDescent="0.25">
      <c r="A9" s="1"/>
      <c r="B9" s="63" t="s">
        <v>149</v>
      </c>
      <c r="C9" s="88" t="s">
        <v>12</v>
      </c>
      <c r="D9" s="90"/>
      <c r="E9" s="131" t="s">
        <v>34</v>
      </c>
      <c r="F9" s="132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CNc7u4aKb2WBTrrwMSD/LurcevXOG93edy68MY8OXctQ/yzhv1iFggCimDQqbPKVfjKZgd0fztc8AZxbvFqVQ==" saltValue="45btooBfv6Ie9jaPFsWpC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116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91</v>
      </c>
      <c r="C8" s="114"/>
      <c r="D8" s="114"/>
      <c r="E8" s="114"/>
      <c r="F8" s="115"/>
      <c r="G8" s="1"/>
    </row>
    <row r="9" spans="1:7" ht="15" customHeight="1" x14ac:dyDescent="0.25">
      <c r="A9" s="1"/>
      <c r="B9" s="63" t="s">
        <v>19</v>
      </c>
      <c r="C9" s="63" t="s">
        <v>12</v>
      </c>
      <c r="D9" s="64"/>
      <c r="E9" s="63" t="s">
        <v>34</v>
      </c>
      <c r="F9" s="64"/>
      <c r="G9" s="1"/>
    </row>
    <row r="10" spans="1:7" x14ac:dyDescent="0.25">
      <c r="A10" s="1"/>
      <c r="B10" s="25" t="s">
        <v>273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92</v>
      </c>
      <c r="C14" s="114"/>
      <c r="D14" s="114"/>
      <c r="E14" s="114"/>
      <c r="F14" s="115"/>
      <c r="G14" s="1"/>
    </row>
    <row r="15" spans="1:7" ht="26.25" x14ac:dyDescent="0.25">
      <c r="A15" s="1"/>
      <c r="B15" s="63" t="s">
        <v>19</v>
      </c>
      <c r="C15" s="63" t="s">
        <v>12</v>
      </c>
      <c r="D15" s="64"/>
      <c r="E15" s="63" t="s">
        <v>34</v>
      </c>
      <c r="F15" s="64"/>
      <c r="G15" s="1"/>
    </row>
    <row r="16" spans="1:7" x14ac:dyDescent="0.25">
      <c r="A16" s="1"/>
      <c r="B16" s="25" t="s">
        <v>273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151</v>
      </c>
      <c r="C20" s="114"/>
      <c r="D20" s="114"/>
      <c r="E20" s="114"/>
      <c r="F20" s="115"/>
      <c r="G20" s="1"/>
    </row>
    <row r="21" spans="1:7" ht="26.25" x14ac:dyDescent="0.25">
      <c r="A21" s="1"/>
      <c r="B21" s="63" t="s">
        <v>19</v>
      </c>
      <c r="C21" s="63" t="s">
        <v>12</v>
      </c>
      <c r="D21" s="64"/>
      <c r="E21" s="63" t="s">
        <v>34</v>
      </c>
      <c r="F21" s="64"/>
      <c r="G21" s="1"/>
    </row>
    <row r="22" spans="1:7" x14ac:dyDescent="0.25">
      <c r="A22" s="1"/>
      <c r="B22" s="25" t="s">
        <v>273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219</v>
      </c>
      <c r="C26" s="114"/>
      <c r="D26" s="114"/>
      <c r="E26" s="114"/>
      <c r="F26" s="115"/>
      <c r="G26" s="1"/>
    </row>
    <row r="27" spans="1:7" ht="26.25" x14ac:dyDescent="0.25">
      <c r="A27" s="1"/>
      <c r="B27" s="63" t="s">
        <v>19</v>
      </c>
      <c r="C27" s="63" t="s">
        <v>12</v>
      </c>
      <c r="D27" s="64"/>
      <c r="E27" s="63" t="s">
        <v>34</v>
      </c>
      <c r="F27" s="64"/>
      <c r="G27" s="1"/>
    </row>
    <row r="28" spans="1:7" x14ac:dyDescent="0.25">
      <c r="A28" s="1"/>
      <c r="B28" s="25" t="s">
        <v>273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Uzb6xwOr9yFZngyHcGrAkkY7dozlSl02f9bflm6ZswgPlMiGm2XPDZXX+qzv1FAIRreicimwPen8Mz4C4ZoPw==" saltValue="84pA1HLVWLBqOUVbzSpV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173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4" t="s">
        <v>264</v>
      </c>
      <c r="C9" s="26">
        <v>1.2699999999999999E-2</v>
      </c>
      <c r="D9" s="1"/>
    </row>
    <row r="10" spans="1:4" x14ac:dyDescent="0.25">
      <c r="A10" s="1"/>
      <c r="B10" s="54" t="s">
        <v>122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285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4" t="s">
        <v>265</v>
      </c>
      <c r="C19" s="23">
        <v>9.1000000000000004E-3</v>
      </c>
      <c r="D19" s="1"/>
    </row>
    <row r="20" spans="1:4" x14ac:dyDescent="0.25">
      <c r="A20" s="1"/>
      <c r="B20" s="54" t="s">
        <v>124</v>
      </c>
      <c r="C20" s="23">
        <v>1.77E-2</v>
      </c>
      <c r="D20" s="1"/>
    </row>
    <row r="21" spans="1:4" x14ac:dyDescent="0.25">
      <c r="A21" s="1"/>
      <c r="B21" s="54" t="s">
        <v>123</v>
      </c>
      <c r="C21" s="23">
        <v>8.6999999999999994E-3</v>
      </c>
      <c r="D21" s="1"/>
    </row>
    <row r="22" spans="1:4" x14ac:dyDescent="0.25">
      <c r="A22" s="1"/>
      <c r="B22" s="54" t="s">
        <v>125</v>
      </c>
      <c r="C22" s="23">
        <v>2.8400000000000002E-2</v>
      </c>
      <c r="D22" s="1"/>
    </row>
    <row r="23" spans="1:4" x14ac:dyDescent="0.25">
      <c r="A23" s="1"/>
      <c r="B23" s="54" t="s">
        <v>154</v>
      </c>
      <c r="C23" s="32">
        <v>2.75E-2</v>
      </c>
      <c r="D23" s="1"/>
    </row>
    <row r="24" spans="1:4" x14ac:dyDescent="0.25">
      <c r="A24" s="1"/>
      <c r="B24" s="54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4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IqrFz4cRMZiIEql+oCQ7wrZcxLWidQVufrBZiMlB2yobisDzq4+cYm1IrzfZF6BWtORfrsM7e53SxpaDgRE4Qg==" saltValue="Qlq759DxaLQE4fi/0me6V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181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3" t="s">
        <v>26</v>
      </c>
      <c r="C9" s="7">
        <f>'Fane 3. Omkostninger i ØR2021'!E24</f>
        <v>58946501.599084005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tillæg'!C14</f>
        <v>168514.26800000001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tillæg'!E14</f>
        <v>169144.34040000002</v>
      </c>
      <c r="D11" s="8" t="s">
        <v>3</v>
      </c>
      <c r="E11" s="1"/>
    </row>
    <row r="12" spans="1:5" ht="17.100000000000001" customHeight="1" x14ac:dyDescent="0.25">
      <c r="A12" s="1"/>
      <c r="B12" s="51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195637.72868469721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-SUM(C9,C10:C16)*'Fane 5. Individuelt eff. krav'!G11</f>
        <v>-94298.571730916156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-'Fane 4.1. Gen. krav - drift'!G42</f>
        <v>-437320.20547475747</v>
      </c>
      <c r="D18" s="8" t="s">
        <v>3</v>
      </c>
      <c r="E18" s="1"/>
    </row>
    <row r="19" spans="1:5" ht="15" customHeight="1" x14ac:dyDescent="0.25">
      <c r="A19" s="1"/>
      <c r="B19" s="51" t="s">
        <v>28</v>
      </c>
      <c r="C19" s="9">
        <f>-'Fane 4.2. Gen. krav - anlæg'!G40</f>
        <v>-556684.05740397645</v>
      </c>
      <c r="D19" s="8" t="s">
        <v>3</v>
      </c>
      <c r="E19" s="1"/>
    </row>
    <row r="20" spans="1:5" ht="15" customHeight="1" x14ac:dyDescent="0.25">
      <c r="A20" s="1"/>
      <c r="B20" s="48" t="s">
        <v>22</v>
      </c>
      <c r="C20" s="10">
        <f>SUM(C9,C10:C19)</f>
        <v>58391495.10155905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3" t="s">
        <v>13</v>
      </c>
      <c r="C22" s="10">
        <f>'Fane 6. Ikke-påvirkelige omk.'!C17+'Fane 6. Ikke-påvirkelige omk.'!C21+'Fane 6. Ikke-påvirkelige omk.'!C29</f>
        <v>17559360.006154593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8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51" t="s">
        <v>73</v>
      </c>
      <c r="C26" s="9">
        <f>'Fane 10.2. Engangstillæg'!C16</f>
        <v>544493.44259880425</v>
      </c>
      <c r="D26" s="8" t="s">
        <v>3</v>
      </c>
      <c r="E26" s="1"/>
    </row>
    <row r="27" spans="1:5" ht="15" customHeight="1" x14ac:dyDescent="0.25">
      <c r="A27" s="1"/>
      <c r="B27" s="51" t="s">
        <v>74</v>
      </c>
      <c r="C27" s="9">
        <f>'Fane 10.2. Engangstillæg'!E16</f>
        <v>60363.483981741643</v>
      </c>
      <c r="D27" s="8" t="s">
        <v>3</v>
      </c>
      <c r="E27" s="1"/>
    </row>
    <row r="28" spans="1:5" x14ac:dyDescent="0.25">
      <c r="A28" s="1"/>
      <c r="B28" s="48" t="s">
        <v>79</v>
      </c>
      <c r="C28" s="10">
        <f>SUM(C26:C27)</f>
        <v>604856.92658054584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3" t="s">
        <v>180</v>
      </c>
      <c r="C30" s="10">
        <f>'Fane 8. Korrektion af ØR2020'!E17</f>
        <v>-112717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3" t="s">
        <v>291</v>
      </c>
      <c r="C32" s="10">
        <f>'Fane 7. Kontrol af ØR2020'!E32</f>
        <v>-1288277.0761477351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61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75154717.958146453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Ou5lO3sopT3K6uWWqPgLlnwwV+RDFIb/8MGtxsGP+WnKqxlbgOVTHkSi3o4VPK99zgrTXum/+diWU9mCq7WjA==" saltValue="vQax4eGVhk8pUdnXf9cc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182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/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3" t="s">
        <v>109</v>
      </c>
      <c r="C8" s="7">
        <f>'Fane 2.1. Økonomisk ramme 2022'!C20</f>
        <v>58391495.10155905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Bortfald'!C18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Bortfald'!E18</f>
        <v>0</v>
      </c>
      <c r="D10" s="8" t="s">
        <v>3</v>
      </c>
      <c r="E10" s="1"/>
    </row>
    <row r="11" spans="1:5" ht="15" customHeight="1" x14ac:dyDescent="0.25">
      <c r="A11" s="1"/>
      <c r="B11" s="44" t="s">
        <v>20</v>
      </c>
      <c r="C11" s="9">
        <f>SUM(C8:C10)*'Fane 14. Nøgletal'!C14</f>
        <v>192691.93383514485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krav'!G11</f>
        <v>-92878.680747757331</v>
      </c>
      <c r="D12" s="8" t="s">
        <v>3</v>
      </c>
      <c r="E12" s="1"/>
    </row>
    <row r="13" spans="1:5" ht="15" customHeight="1" x14ac:dyDescent="0.25">
      <c r="A13" s="1"/>
      <c r="B13" s="44" t="s">
        <v>27</v>
      </c>
      <c r="C13" s="9">
        <f>-'Fane 4.1. Gen. krav - drift'!G49</f>
        <v>-429988.09490976774</v>
      </c>
      <c r="D13" s="8" t="s">
        <v>3</v>
      </c>
      <c r="E13" s="1"/>
    </row>
    <row r="14" spans="1:5" ht="15" customHeight="1" x14ac:dyDescent="0.25">
      <c r="A14" s="1"/>
      <c r="B14" s="44" t="s">
        <v>28</v>
      </c>
      <c r="C14" s="9">
        <f>-'Fane 4.2. Gen. krav - anlæg'!G47</f>
        <v>-550255.00229446718</v>
      </c>
      <c r="D14" s="8" t="s">
        <v>3</v>
      </c>
      <c r="E14" s="1"/>
    </row>
    <row r="15" spans="1:5" ht="15" customHeight="1" x14ac:dyDescent="0.25">
      <c r="A15" s="1"/>
      <c r="B15" s="45" t="s">
        <v>22</v>
      </c>
      <c r="C15" s="10">
        <f>SUM(C8:C14)</f>
        <v>57511065.257442206</v>
      </c>
      <c r="D15" s="11" t="s">
        <v>3</v>
      </c>
      <c r="E15" s="1"/>
    </row>
    <row r="16" spans="1:5" ht="15" customHeight="1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3" t="s">
        <v>13</v>
      </c>
      <c r="C17" s="10">
        <f>'Fane 6. Ikke-påvirkelige omk.'!C17*(1+'Fane 14. Nøgletal'!C14)+'Fane 6. Ikke-påvirkelige omk.'!C22+'Fane 6. Ikke-påvirkelige omk.'!C30</f>
        <v>17616346.858074903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8" t="s">
        <v>78</v>
      </c>
      <c r="C19" s="10">
        <f>'Fane 11. Periodevise driftsomk.'!E18</f>
        <v>0</v>
      </c>
      <c r="D19" s="11" t="s">
        <v>3</v>
      </c>
      <c r="E19" s="1"/>
    </row>
    <row r="20" spans="1:5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1" t="s">
        <v>73</v>
      </c>
      <c r="C21" s="9">
        <f>'Fane 10.2. Engangstillæg'!C24</f>
        <v>0</v>
      </c>
      <c r="D21" s="8" t="s">
        <v>3</v>
      </c>
      <c r="E21" s="1"/>
    </row>
    <row r="22" spans="1:5" ht="15" customHeight="1" x14ac:dyDescent="0.25">
      <c r="A22" s="1"/>
      <c r="B22" s="51" t="s">
        <v>74</v>
      </c>
      <c r="C22" s="9">
        <f>'Fane 10.2. Engangstillæg'!E24</f>
        <v>0</v>
      </c>
      <c r="D22" s="8" t="s">
        <v>3</v>
      </c>
      <c r="E22" s="1"/>
    </row>
    <row r="23" spans="1:5" ht="15" customHeight="1" x14ac:dyDescent="0.25">
      <c r="A23" s="1"/>
      <c r="B23" s="48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171</v>
      </c>
      <c r="C24" s="36"/>
      <c r="D24" s="20"/>
      <c r="E24" s="1"/>
    </row>
    <row r="25" spans="1:5" ht="15" customHeight="1" x14ac:dyDescent="0.25">
      <c r="A25" s="1"/>
      <c r="B25" s="63" t="s">
        <v>291</v>
      </c>
      <c r="C25" s="10">
        <f>'Fane 7. Kontrol af ØR2020'!E32</f>
        <v>-1288277.0761477351</v>
      </c>
      <c r="D25" s="11" t="s">
        <v>3</v>
      </c>
      <c r="E25" s="1"/>
    </row>
    <row r="26" spans="1:5" x14ac:dyDescent="0.25">
      <c r="A26" s="1"/>
      <c r="B26" s="37" t="s">
        <v>262</v>
      </c>
      <c r="C26" s="36"/>
      <c r="D26" s="20"/>
      <c r="E26" s="1"/>
    </row>
    <row r="27" spans="1:5" x14ac:dyDescent="0.25">
      <c r="A27" s="1"/>
      <c r="B27" s="61" t="s">
        <v>263</v>
      </c>
      <c r="C27" s="10">
        <v>0</v>
      </c>
      <c r="D27" s="11" t="s">
        <v>3</v>
      </c>
      <c r="E27" s="1"/>
    </row>
    <row r="28" spans="1:5" ht="15" customHeight="1" x14ac:dyDescent="0.25">
      <c r="A28" s="1"/>
      <c r="B28" s="35" t="s">
        <v>86</v>
      </c>
      <c r="C28" s="12">
        <f>SUM(C15,C17,C19,C23,C25,C27)</f>
        <v>73839135.039369375</v>
      </c>
      <c r="D28" s="13" t="s">
        <v>3</v>
      </c>
      <c r="E28" s="1"/>
    </row>
    <row r="29" spans="1:5" ht="15" customHeight="1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RhKPPyq31Y5+Qb7yZcsvTsQep7MgVE4bdjHlq5PG70U0XOU44tM1YzTyP9W6tTTgK1uhCvPScgkDVOoAzfOCA==" saltValue="fKqA0982+tOeH9KeEpa4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183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3" t="s">
        <v>139</v>
      </c>
      <c r="C8" s="7">
        <f>'Fane 2.2. Økonomisk ramme 2023'!C15</f>
        <v>57511065.257442206</v>
      </c>
      <c r="D8" s="8" t="s">
        <v>3</v>
      </c>
      <c r="E8" s="1"/>
    </row>
    <row r="9" spans="1:5" ht="15" customHeight="1" x14ac:dyDescent="0.25">
      <c r="A9" s="1"/>
      <c r="B9" s="53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4" t="s">
        <v>20</v>
      </c>
      <c r="C11" s="9">
        <f>SUM(C8:C10)*'Fane 14. Nøgletal'!C14</f>
        <v>189786.51534955928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krav'!G11</f>
        <v>-91478.251416905303</v>
      </c>
      <c r="D12" s="8" t="s">
        <v>3</v>
      </c>
      <c r="E12" s="1"/>
    </row>
    <row r="13" spans="1:5" ht="15" customHeight="1" x14ac:dyDescent="0.25">
      <c r="A13" s="1"/>
      <c r="B13" s="44" t="s">
        <v>27</v>
      </c>
      <c r="C13" s="9">
        <f>-'Fane 4.1. Gen. krav - drift'!G56</f>
        <v>-422778.91451051057</v>
      </c>
      <c r="D13" s="8" t="s">
        <v>3</v>
      </c>
      <c r="E13" s="1"/>
    </row>
    <row r="14" spans="1:5" ht="15" customHeight="1" x14ac:dyDescent="0.25">
      <c r="A14" s="1"/>
      <c r="B14" s="44" t="s">
        <v>28</v>
      </c>
      <c r="C14" s="9">
        <f>-'Fane 4.2. Gen. krav - anlæg'!G54</f>
        <v>-543900.19531376881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56642694.411550581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3" t="s">
        <v>13</v>
      </c>
      <c r="C17" s="10">
        <f>'Fane 6. Ikke-påvirkelige omk.'!C17*(1+'Fane 14. Nøgletal'!C14)^2+'Fane 6. Ikke-påvirkelige omk.'!C23+'Fane 6. Ikke-påvirkelige omk.'!C31</f>
        <v>17673521.766606554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8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1" t="s">
        <v>73</v>
      </c>
      <c r="C21" s="9">
        <f>'Fane 10.2. Engangstillæg'!C32</f>
        <v>0</v>
      </c>
      <c r="D21" s="8" t="s">
        <v>3</v>
      </c>
      <c r="E21" s="1"/>
    </row>
    <row r="22" spans="1:5" ht="15" customHeight="1" x14ac:dyDescent="0.25">
      <c r="A22" s="1"/>
      <c r="B22" s="51" t="s">
        <v>74</v>
      </c>
      <c r="C22" s="9">
        <f>'Fane 10.2. Engangstillæg'!E32</f>
        <v>0</v>
      </c>
      <c r="D22" s="8" t="s">
        <v>3</v>
      </c>
      <c r="E22" s="1"/>
    </row>
    <row r="23" spans="1:5" ht="15" customHeight="1" x14ac:dyDescent="0.25">
      <c r="A23" s="1"/>
      <c r="B23" s="48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61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74316216.178157136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R6NrVuXRv9jB08HYvnQxPkQ+ynG8vtTzPU5awzAzQIBOm6E6v7zUCvQIUa2QbEbELlQzNVokbZFG3I+ZVOiA==" saltValue="7RgDo2OOHC8ALKgnoV+z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184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3" t="s">
        <v>185</v>
      </c>
      <c r="C8" s="7">
        <f>'Fane 2.3. Økonomisk ramme 2024'!C15</f>
        <v>56642694.411550581</v>
      </c>
      <c r="D8" s="8" t="s">
        <v>3</v>
      </c>
      <c r="E8" s="1"/>
    </row>
    <row r="9" spans="1:5" ht="15" customHeight="1" x14ac:dyDescent="0.25">
      <c r="A9" s="1"/>
      <c r="B9" s="53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4" t="s">
        <v>20</v>
      </c>
      <c r="C11" s="9">
        <f>SUM(C8:C10)*'Fane 14. Nøgletal'!C14</f>
        <v>186920.89155811691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krav'!G11</f>
        <v>-90097.003369977407</v>
      </c>
      <c r="D12" s="8" t="s">
        <v>3</v>
      </c>
      <c r="E12" s="1"/>
    </row>
    <row r="13" spans="1:5" ht="15" customHeight="1" x14ac:dyDescent="0.25">
      <c r="A13" s="1"/>
      <c r="B13" s="44" t="s">
        <v>27</v>
      </c>
      <c r="C13" s="9">
        <f>-'Fane 4.1. Gen. krav - drift'!G62</f>
        <v>-415690.60322982736</v>
      </c>
      <c r="D13" s="8" t="s">
        <v>3</v>
      </c>
      <c r="E13" s="1"/>
    </row>
    <row r="14" spans="1:5" ht="15" customHeight="1" x14ac:dyDescent="0.25">
      <c r="A14" s="1"/>
      <c r="B14" s="44" t="s">
        <v>28</v>
      </c>
      <c r="C14" s="9">
        <f>-'Fane 4.2. Gen. krav - anlæg'!G60</f>
        <v>-537618.7789821215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55786208.917526767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3" t="s">
        <v>13</v>
      </c>
      <c r="C17" s="10">
        <f>'Fane 6. Ikke-påvirkelige omk.'!C17*(1+'Fane 14. Nøgletal'!C14)^3+'Fane 6. Ikke-påvirkelige omk.'!C24+'Fane 6. Ikke-påvirkelige omk.'!C32</f>
        <v>17730885.352336355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8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1" t="s">
        <v>73</v>
      </c>
      <c r="C21" s="9">
        <f>'Fane 10.2. Engangstillæg'!C40</f>
        <v>0</v>
      </c>
      <c r="D21" s="8" t="s">
        <v>3</v>
      </c>
      <c r="E21" s="1"/>
    </row>
    <row r="22" spans="1:5" ht="15" customHeight="1" x14ac:dyDescent="0.25">
      <c r="A22" s="1"/>
      <c r="B22" s="51" t="s">
        <v>74</v>
      </c>
      <c r="C22" s="9">
        <f>'Fane 10.2. Engangstillæg'!E40</f>
        <v>0</v>
      </c>
      <c r="D22" s="8" t="s">
        <v>3</v>
      </c>
      <c r="E22" s="1"/>
    </row>
    <row r="23" spans="1:5" ht="15" customHeight="1" x14ac:dyDescent="0.25">
      <c r="A23" s="1"/>
      <c r="B23" s="48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73517094.269863129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ZXglmqva9eG/lbnVDplWGZtKrzv31neEOPkapicznApKFxk9flglHo9Bro0D4mGjysjhR+cQHlk+YmAnPfA2g==" saltValue="80OccLwYQ0jR8/AU15Rp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187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104" t="s">
        <v>25</v>
      </c>
      <c r="C9" s="105"/>
      <c r="D9" s="106"/>
      <c r="E9" s="7">
        <v>58584706.584053181</v>
      </c>
      <c r="F9" s="8" t="s">
        <v>3</v>
      </c>
      <c r="G9" s="1"/>
    </row>
    <row r="10" spans="1:7" ht="14.25" customHeight="1" x14ac:dyDescent="0.25">
      <c r="A10" s="1"/>
      <c r="B10" s="100" t="s">
        <v>227</v>
      </c>
      <c r="C10" s="101"/>
      <c r="D10" s="102"/>
      <c r="E10" s="7">
        <v>0</v>
      </c>
      <c r="F10" s="8" t="s">
        <v>3</v>
      </c>
      <c r="G10" s="1"/>
    </row>
    <row r="11" spans="1:7" ht="14.25" customHeight="1" x14ac:dyDescent="0.25">
      <c r="A11" s="1"/>
      <c r="B11" s="100" t="s">
        <v>228</v>
      </c>
      <c r="C11" s="101"/>
      <c r="D11" s="102"/>
      <c r="E11" s="7">
        <v>900468.42854989984</v>
      </c>
      <c r="F11" s="8" t="s">
        <v>3</v>
      </c>
      <c r="G11" s="1"/>
    </row>
    <row r="12" spans="1:7" x14ac:dyDescent="0.25">
      <c r="A12" s="1"/>
      <c r="B12" s="100" t="s">
        <v>189</v>
      </c>
      <c r="C12" s="101"/>
      <c r="D12" s="102"/>
      <c r="E12" s="9">
        <v>340572.71089264506</v>
      </c>
      <c r="F12" s="8" t="s">
        <v>3</v>
      </c>
      <c r="G12" s="1"/>
    </row>
    <row r="13" spans="1:7" x14ac:dyDescent="0.25">
      <c r="A13" s="1"/>
      <c r="B13" s="100" t="s">
        <v>190</v>
      </c>
      <c r="C13" s="101"/>
      <c r="D13" s="102"/>
      <c r="E13" s="9">
        <v>62357.17147325266</v>
      </c>
      <c r="F13" s="8" t="s">
        <v>3</v>
      </c>
      <c r="G13" s="1"/>
    </row>
    <row r="14" spans="1:7" x14ac:dyDescent="0.25">
      <c r="A14" s="1"/>
      <c r="B14" s="91" t="s">
        <v>43</v>
      </c>
      <c r="C14" s="92"/>
      <c r="D14" s="93"/>
      <c r="E14" s="9">
        <v>107175.78479999999</v>
      </c>
      <c r="F14" s="8" t="s">
        <v>3</v>
      </c>
      <c r="G14" s="1"/>
    </row>
    <row r="15" spans="1:7" x14ac:dyDescent="0.25">
      <c r="A15" s="1"/>
      <c r="B15" s="91" t="s">
        <v>44</v>
      </c>
      <c r="C15" s="92"/>
      <c r="D15" s="93"/>
      <c r="E15" s="9">
        <v>333157.53239999997</v>
      </c>
      <c r="F15" s="8" t="s">
        <v>3</v>
      </c>
      <c r="G15" s="1"/>
    </row>
    <row r="16" spans="1:7" x14ac:dyDescent="0.25">
      <c r="A16" s="1"/>
      <c r="B16" s="91" t="s">
        <v>30</v>
      </c>
      <c r="C16" s="92"/>
      <c r="D16" s="93"/>
      <c r="E16" s="9">
        <v>0</v>
      </c>
      <c r="F16" s="8" t="s">
        <v>3</v>
      </c>
      <c r="G16" s="1"/>
    </row>
    <row r="17" spans="1:7" x14ac:dyDescent="0.25">
      <c r="A17" s="1"/>
      <c r="B17" s="91" t="s">
        <v>29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137</v>
      </c>
      <c r="C18" s="92"/>
      <c r="D18" s="93"/>
      <c r="E18" s="9">
        <v>0</v>
      </c>
      <c r="F18" s="8" t="s">
        <v>3</v>
      </c>
      <c r="G18" s="1"/>
    </row>
    <row r="19" spans="1:7" x14ac:dyDescent="0.25">
      <c r="A19" s="1"/>
      <c r="B19" s="91" t="s">
        <v>138</v>
      </c>
      <c r="C19" s="92"/>
      <c r="D19" s="93"/>
      <c r="E19" s="9">
        <v>0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9">
        <v>1030950.5963748458</v>
      </c>
      <c r="F20" s="8" t="s">
        <v>3</v>
      </c>
      <c r="G20" s="1"/>
    </row>
    <row r="21" spans="1:7" x14ac:dyDescent="0.25">
      <c r="A21" s="1"/>
      <c r="B21" s="91" t="s">
        <v>10</v>
      </c>
      <c r="C21" s="92"/>
      <c r="D21" s="93"/>
      <c r="E21" s="9">
        <v>0</v>
      </c>
      <c r="F21" s="8" t="s">
        <v>3</v>
      </c>
      <c r="G21" s="1"/>
    </row>
    <row r="22" spans="1:7" x14ac:dyDescent="0.25">
      <c r="A22" s="1"/>
      <c r="B22" s="91" t="s">
        <v>27</v>
      </c>
      <c r="C22" s="92"/>
      <c r="D22" s="93"/>
      <c r="E22" s="9">
        <f>-'Fane 4.1. Gen. krav - drift'!G36</f>
        <v>-441338.27570351458</v>
      </c>
      <c r="F22" s="8" t="s">
        <v>3</v>
      </c>
      <c r="G22" s="1"/>
    </row>
    <row r="23" spans="1:7" x14ac:dyDescent="0.25">
      <c r="A23" s="1"/>
      <c r="B23" s="91" t="s">
        <v>28</v>
      </c>
      <c r="C23" s="92"/>
      <c r="D23" s="93"/>
      <c r="E23" s="9">
        <f>-'Fane 4.2. Gen. krav - anlæg'!G34</f>
        <v>-668150.62284050661</v>
      </c>
      <c r="F23" s="8" t="s">
        <v>3</v>
      </c>
      <c r="G23" s="1"/>
    </row>
    <row r="24" spans="1:7" x14ac:dyDescent="0.25">
      <c r="A24" s="1"/>
      <c r="B24" s="94" t="s">
        <v>22</v>
      </c>
      <c r="C24" s="95"/>
      <c r="D24" s="96"/>
      <c r="E24" s="10">
        <f>SUM(E9,E14:E23)</f>
        <v>58946501.599084005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88" t="s">
        <v>13</v>
      </c>
      <c r="C26" s="89"/>
      <c r="D26" s="90"/>
      <c r="E26" s="10">
        <v>14565592.46569192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97" t="s">
        <v>78</v>
      </c>
      <c r="C28" s="98"/>
      <c r="D28" s="99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100" t="s">
        <v>73</v>
      </c>
      <c r="C30" s="101"/>
      <c r="D30" s="102"/>
      <c r="E30" s="33">
        <v>0</v>
      </c>
      <c r="F30" s="8" t="s">
        <v>3</v>
      </c>
      <c r="G30" s="1"/>
    </row>
    <row r="31" spans="1:7" ht="15.75" customHeight="1" x14ac:dyDescent="0.25">
      <c r="A31" s="1"/>
      <c r="B31" s="100" t="s">
        <v>74</v>
      </c>
      <c r="C31" s="101"/>
      <c r="D31" s="102"/>
      <c r="E31" s="33">
        <v>41071.089349080001</v>
      </c>
      <c r="F31" s="8" t="s">
        <v>3</v>
      </c>
      <c r="G31" s="1"/>
    </row>
    <row r="32" spans="1:7" x14ac:dyDescent="0.25">
      <c r="A32" s="1"/>
      <c r="B32" s="48" t="s">
        <v>79</v>
      </c>
      <c r="C32" s="46"/>
      <c r="D32" s="47"/>
      <c r="E32" s="10">
        <v>39941.634391980304</v>
      </c>
      <c r="F32" s="11" t="s">
        <v>3</v>
      </c>
      <c r="G32" s="1"/>
    </row>
    <row r="33" spans="1:7" x14ac:dyDescent="0.25">
      <c r="A33" s="1"/>
      <c r="B33" s="35" t="s">
        <v>284</v>
      </c>
      <c r="C33" s="36"/>
      <c r="D33" s="36"/>
      <c r="E33" s="36"/>
      <c r="F33" s="20"/>
      <c r="G33" s="1"/>
    </row>
    <row r="34" spans="1:7" ht="15" customHeight="1" x14ac:dyDescent="0.25">
      <c r="A34" s="1"/>
      <c r="B34" s="88" t="s">
        <v>284</v>
      </c>
      <c r="C34" s="89"/>
      <c r="D34" s="90"/>
      <c r="E34" s="10">
        <v>-108117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73443918.699167907</v>
      </c>
      <c r="F35" s="13" t="s">
        <v>3</v>
      </c>
      <c r="G35" s="1"/>
    </row>
    <row r="36" spans="1:7" ht="26.85" customHeight="1" x14ac:dyDescent="0.25">
      <c r="A36" s="1"/>
      <c r="B36" s="85" t="s">
        <v>226</v>
      </c>
      <c r="C36" s="86"/>
      <c r="D36" s="86"/>
      <c r="E36" s="86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Lu+Hccl4E0Ge8cVxlXDTUXwmlUV59CEUAiRL6lFrmhdD/FCYwfKGg/3BXcujQAAi1TvfaN1sTF5qILyCwjzPjQ==" saltValue="WrYO4NLEk29UoM4bNx4ctg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3" t="s">
        <v>121</v>
      </c>
      <c r="C1" s="103"/>
      <c r="D1" s="103"/>
      <c r="E1" s="103"/>
      <c r="F1" s="103"/>
      <c r="G1" s="103"/>
      <c r="H1" s="103"/>
      <c r="I1" s="1"/>
    </row>
    <row r="2" spans="1:9" ht="15" customHeight="1" x14ac:dyDescent="0.2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113" t="s">
        <v>229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230</v>
      </c>
      <c r="C5" s="111"/>
      <c r="D5" s="111"/>
      <c r="E5" s="111"/>
      <c r="F5" s="112"/>
      <c r="G5" s="24">
        <v>24775219</v>
      </c>
      <c r="H5" s="14" t="s">
        <v>3</v>
      </c>
      <c r="I5" s="1"/>
    </row>
    <row r="6" spans="1:9" ht="15" customHeight="1" x14ac:dyDescent="0.25">
      <c r="A6" s="1"/>
      <c r="B6" s="85" t="s">
        <v>231</v>
      </c>
      <c r="C6" s="86"/>
      <c r="D6" s="86"/>
      <c r="E6" s="86"/>
      <c r="F6" s="87"/>
      <c r="G6" s="7">
        <v>0</v>
      </c>
      <c r="H6" s="14" t="s">
        <v>3</v>
      </c>
      <c r="I6" s="1"/>
    </row>
    <row r="7" spans="1:9" x14ac:dyDescent="0.25">
      <c r="A7" s="1"/>
      <c r="B7" s="110" t="s">
        <v>232</v>
      </c>
      <c r="C7" s="111"/>
      <c r="D7" s="111"/>
      <c r="E7" s="111"/>
      <c r="F7" s="112"/>
      <c r="G7" s="24">
        <f>SUM(G5:G6)*'Fane 14. Nøgletal'!C29</f>
        <v>495504.38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3" t="s">
        <v>53</v>
      </c>
      <c r="C10" s="114"/>
      <c r="D10" s="114"/>
      <c r="E10" s="114"/>
      <c r="F10" s="114"/>
      <c r="G10" s="114"/>
      <c r="H10" s="115"/>
      <c r="I10" s="1"/>
    </row>
    <row r="11" spans="1:9" x14ac:dyDescent="0.25">
      <c r="A11" s="1"/>
      <c r="B11" s="110" t="s">
        <v>233</v>
      </c>
      <c r="C11" s="111"/>
      <c r="D11" s="111"/>
      <c r="E11" s="111"/>
      <c r="F11" s="112"/>
      <c r="G11" s="24">
        <f>(G5-G7)*(1+'Fane 14. Nøgletal'!C10)</f>
        <v>24704609.625850003</v>
      </c>
      <c r="H11" s="14" t="s">
        <v>3</v>
      </c>
      <c r="I11" s="1"/>
    </row>
    <row r="12" spans="1:9" x14ac:dyDescent="0.25">
      <c r="A12" s="1"/>
      <c r="B12" s="110" t="s">
        <v>133</v>
      </c>
      <c r="C12" s="111"/>
      <c r="D12" s="111"/>
      <c r="E12" s="111"/>
      <c r="F12" s="112"/>
      <c r="G12" s="24">
        <v>-2907627.600406975</v>
      </c>
      <c r="H12" s="14" t="s">
        <v>3</v>
      </c>
      <c r="I12" s="1"/>
    </row>
    <row r="13" spans="1:9" x14ac:dyDescent="0.25">
      <c r="A13" s="1"/>
      <c r="B13" s="85" t="s">
        <v>131</v>
      </c>
      <c r="C13" s="86"/>
      <c r="D13" s="86"/>
      <c r="E13" s="86"/>
      <c r="F13" s="87"/>
      <c r="G13" s="7">
        <v>0</v>
      </c>
      <c r="H13" s="14" t="s">
        <v>3</v>
      </c>
      <c r="I13" s="1"/>
    </row>
    <row r="14" spans="1:9" x14ac:dyDescent="0.25">
      <c r="A14" s="1"/>
      <c r="B14" s="107" t="s">
        <v>234</v>
      </c>
      <c r="C14" s="108"/>
      <c r="D14" s="108"/>
      <c r="E14" s="108"/>
      <c r="F14" s="109"/>
      <c r="G14" s="7">
        <v>0</v>
      </c>
      <c r="H14" s="14" t="s">
        <v>3</v>
      </c>
      <c r="I14" s="1"/>
    </row>
    <row r="15" spans="1:9" x14ac:dyDescent="0.25">
      <c r="A15" s="1"/>
      <c r="B15" s="110" t="s">
        <v>46</v>
      </c>
      <c r="C15" s="111"/>
      <c r="D15" s="111"/>
      <c r="E15" s="111"/>
      <c r="F15" s="112"/>
      <c r="G15" s="24">
        <f>SUM(G11:G14)*'Fane 14. Nøgletal'!C29</f>
        <v>435939.64050886058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3" t="s">
        <v>54</v>
      </c>
      <c r="C18" s="114"/>
      <c r="D18" s="114"/>
      <c r="E18" s="114"/>
      <c r="F18" s="114"/>
      <c r="G18" s="114"/>
      <c r="H18" s="115"/>
      <c r="I18" s="1"/>
    </row>
    <row r="19" spans="1:9" x14ac:dyDescent="0.25">
      <c r="A19" s="1"/>
      <c r="B19" s="110" t="s">
        <v>47</v>
      </c>
      <c r="C19" s="111"/>
      <c r="D19" s="111"/>
      <c r="E19" s="111"/>
      <c r="F19" s="112"/>
      <c r="G19" s="24">
        <f>(G11+G12+G14-G15)*(1+'Fane 14. Nøgletal'!C10)</f>
        <v>21734860.626670517</v>
      </c>
      <c r="H19" s="14" t="s">
        <v>3</v>
      </c>
      <c r="I19" s="1"/>
    </row>
    <row r="20" spans="1:9" x14ac:dyDescent="0.25">
      <c r="A20" s="1"/>
      <c r="B20" s="107" t="s">
        <v>48</v>
      </c>
      <c r="C20" s="108"/>
      <c r="D20" s="108"/>
      <c r="E20" s="108"/>
      <c r="F20" s="109"/>
      <c r="G20" s="7">
        <v>0</v>
      </c>
      <c r="H20" s="14" t="s">
        <v>3</v>
      </c>
      <c r="I20" s="1"/>
    </row>
    <row r="21" spans="1:9" x14ac:dyDescent="0.25">
      <c r="A21" s="1"/>
      <c r="B21" s="110" t="s">
        <v>49</v>
      </c>
      <c r="C21" s="111"/>
      <c r="D21" s="111"/>
      <c r="E21" s="111"/>
      <c r="F21" s="112"/>
      <c r="G21" s="24">
        <f>(G19+G20)*'Fane 14. Nøgletal'!C29</f>
        <v>434697.21253341035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3" t="s">
        <v>55</v>
      </c>
      <c r="C24" s="114"/>
      <c r="D24" s="114"/>
      <c r="E24" s="114"/>
      <c r="F24" s="114"/>
      <c r="G24" s="114"/>
      <c r="H24" s="115"/>
      <c r="I24" s="1"/>
    </row>
    <row r="25" spans="1:9" x14ac:dyDescent="0.25">
      <c r="A25" s="1"/>
      <c r="B25" s="110" t="s">
        <v>50</v>
      </c>
      <c r="C25" s="111"/>
      <c r="D25" s="111"/>
      <c r="E25" s="111"/>
      <c r="F25" s="112"/>
      <c r="G25" s="24">
        <f>G19*(1-'Fane 14. Nøgletal'!C29)*(1+'Fane 14. Nøgletal'!C10)+G20*(1-'Fane 14. Nøgletal'!C29)*(1+'Fane 14. Nøgletal'!C11)</f>
        <v>21672916.273884509</v>
      </c>
      <c r="H25" s="14" t="s">
        <v>3</v>
      </c>
      <c r="I25" s="1"/>
    </row>
    <row r="26" spans="1:9" x14ac:dyDescent="0.25">
      <c r="A26" s="1"/>
      <c r="B26" s="116" t="s">
        <v>235</v>
      </c>
      <c r="C26" s="117"/>
      <c r="D26" s="117"/>
      <c r="E26" s="117"/>
      <c r="F26" s="118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07" t="s">
        <v>51</v>
      </c>
      <c r="C27" s="108"/>
      <c r="D27" s="108"/>
      <c r="E27" s="108"/>
      <c r="F27" s="109"/>
      <c r="G27" s="24">
        <v>347523.17438025004</v>
      </c>
      <c r="H27" s="14" t="s">
        <v>3</v>
      </c>
      <c r="I27" s="1"/>
    </row>
    <row r="28" spans="1:9" x14ac:dyDescent="0.25">
      <c r="A28" s="1"/>
      <c r="B28" s="110" t="s">
        <v>52</v>
      </c>
      <c r="C28" s="111"/>
      <c r="D28" s="111"/>
      <c r="E28" s="111"/>
      <c r="F28" s="112"/>
      <c r="G28" s="24">
        <f>SUM(G25,G27)*'Fane 14. Nøgletal'!C29</f>
        <v>440408.78896529519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3" t="s">
        <v>56</v>
      </c>
      <c r="C31" s="114"/>
      <c r="D31" s="114"/>
      <c r="E31" s="114"/>
      <c r="F31" s="114"/>
      <c r="G31" s="114"/>
      <c r="H31" s="115"/>
      <c r="I31" s="1"/>
    </row>
    <row r="32" spans="1:9" x14ac:dyDescent="0.25">
      <c r="A32" s="1"/>
      <c r="B32" s="110" t="s">
        <v>57</v>
      </c>
      <c r="C32" s="111"/>
      <c r="D32" s="111"/>
      <c r="E32" s="111"/>
      <c r="F32" s="112"/>
      <c r="G32" s="24">
        <f>(G25-G26)*(1-'Fane 14. Nøgletal'!C29)*(1+'Fane 14. Nøgletal'!C10)+G26*(1-'Fane 14. Nøgletal'!C29)*(1+'Fane 14. Nøgletal'!C11)+G27*(1-'Fane 14. Nøgletal'!C29)*(1+'Fane 14. Nøgletal'!C12)</f>
        <v>21958430.45580117</v>
      </c>
      <c r="H32" s="14" t="s">
        <v>3</v>
      </c>
      <c r="I32" s="1"/>
    </row>
    <row r="33" spans="1:9" x14ac:dyDescent="0.25">
      <c r="A33" s="1"/>
      <c r="B33" s="116" t="s">
        <v>235</v>
      </c>
      <c r="C33" s="108"/>
      <c r="D33" s="108"/>
      <c r="E33" s="108"/>
      <c r="F33" s="109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6" t="s">
        <v>130</v>
      </c>
      <c r="C34" s="108"/>
      <c r="D34" s="108"/>
      <c r="E34" s="108"/>
      <c r="F34" s="109"/>
      <c r="G34" s="24">
        <f>G27*(1-'Fane 14. Nøgletal'!C29)*(1+'Fane 14. Nøgletal'!C12)</f>
        <v>347281.99329723016</v>
      </c>
      <c r="H34" s="14" t="s">
        <v>3</v>
      </c>
      <c r="I34" s="1"/>
    </row>
    <row r="35" spans="1:9" x14ac:dyDescent="0.25">
      <c r="A35" s="1"/>
      <c r="B35" s="110" t="s">
        <v>159</v>
      </c>
      <c r="C35" s="111"/>
      <c r="D35" s="111"/>
      <c r="E35" s="111"/>
      <c r="F35" s="112"/>
      <c r="G35" s="24">
        <v>108483.32937455999</v>
      </c>
      <c r="H35" s="14" t="s">
        <v>3</v>
      </c>
      <c r="I35" s="1"/>
    </row>
    <row r="36" spans="1:9" x14ac:dyDescent="0.25">
      <c r="A36" s="1"/>
      <c r="B36" s="110" t="s">
        <v>58</v>
      </c>
      <c r="C36" s="111"/>
      <c r="D36" s="111"/>
      <c r="E36" s="111"/>
      <c r="F36" s="112"/>
      <c r="G36" s="24">
        <f>SUM(G32,G35)*'Fane 14. Nøgletal'!C29</f>
        <v>441338.27570351458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3" t="s">
        <v>191</v>
      </c>
      <c r="C39" s="114"/>
      <c r="D39" s="114"/>
      <c r="E39" s="114"/>
      <c r="F39" s="114"/>
      <c r="G39" s="114"/>
      <c r="H39" s="115"/>
      <c r="I39" s="1"/>
    </row>
    <row r="40" spans="1:9" x14ac:dyDescent="0.25">
      <c r="A40" s="1"/>
      <c r="B40" s="110" t="s">
        <v>245</v>
      </c>
      <c r="C40" s="111"/>
      <c r="D40" s="111"/>
      <c r="E40" s="111"/>
      <c r="F40" s="112"/>
      <c r="G40" s="24">
        <f>(SUM(G32,G35)-G36)*(1+'Fane 14. Nøgletal'!C14)</f>
        <v>21696939.908653475</v>
      </c>
      <c r="H40" s="14" t="s">
        <v>3</v>
      </c>
      <c r="I40" s="1"/>
    </row>
    <row r="41" spans="1:9" x14ac:dyDescent="0.25">
      <c r="A41" s="1"/>
      <c r="B41" s="110" t="s">
        <v>244</v>
      </c>
      <c r="C41" s="111"/>
      <c r="D41" s="111"/>
      <c r="E41" s="111"/>
      <c r="F41" s="112"/>
      <c r="G41" s="24">
        <f>(SUM('Fane 2.1. Økonomisk ramme 2022'!C10,'Fane 2.1. Økonomisk ramme 2022'!C12,'Fane 2.1. Økonomisk ramme 2022'!C14)*(1+'Fane 14. Nøgletal'!C14))</f>
        <v>169070.36508440002</v>
      </c>
      <c r="H41" s="14" t="s">
        <v>3</v>
      </c>
      <c r="I41" s="1"/>
    </row>
    <row r="42" spans="1:9" x14ac:dyDescent="0.25">
      <c r="A42" s="1"/>
      <c r="B42" s="110" t="s">
        <v>243</v>
      </c>
      <c r="C42" s="111"/>
      <c r="D42" s="111"/>
      <c r="E42" s="111"/>
      <c r="F42" s="112"/>
      <c r="G42" s="24">
        <f>(G40+G41)*'Fane 14. Nøgletal'!C29</f>
        <v>437320.20547475747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3" t="s">
        <v>223</v>
      </c>
      <c r="C45" s="114"/>
      <c r="D45" s="114"/>
      <c r="E45" s="114"/>
      <c r="F45" s="114"/>
      <c r="G45" s="114"/>
      <c r="H45" s="115"/>
      <c r="I45" s="1"/>
    </row>
    <row r="46" spans="1:9" x14ac:dyDescent="0.25">
      <c r="A46" s="1"/>
      <c r="B46" s="110" t="s">
        <v>256</v>
      </c>
      <c r="C46" s="111"/>
      <c r="D46" s="111"/>
      <c r="E46" s="111"/>
      <c r="F46" s="112"/>
      <c r="G46" s="24">
        <f>(G40+G41-G42)*(1+'Fane 14. Nøgletal'!C14)</f>
        <v>21499404.745488387</v>
      </c>
      <c r="H46" s="14" t="s">
        <v>3</v>
      </c>
      <c r="I46" s="1"/>
    </row>
    <row r="47" spans="1:9" x14ac:dyDescent="0.25">
      <c r="A47" s="1"/>
      <c r="B47" s="116" t="s">
        <v>258</v>
      </c>
      <c r="C47" s="108"/>
      <c r="D47" s="108"/>
      <c r="E47" s="108"/>
      <c r="F47" s="109"/>
      <c r="G47" s="24">
        <f>G41*(1+'Fane 14. Nøgletal'!C14)</f>
        <v>169628.29728917856</v>
      </c>
      <c r="H47" s="14" t="s">
        <v>3</v>
      </c>
      <c r="I47" s="1"/>
    </row>
    <row r="48" spans="1:9" x14ac:dyDescent="0.25">
      <c r="A48" s="1"/>
      <c r="B48" s="110" t="s">
        <v>81</v>
      </c>
      <c r="C48" s="111"/>
      <c r="D48" s="111"/>
      <c r="E48" s="111"/>
      <c r="F48" s="112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10" t="s">
        <v>257</v>
      </c>
      <c r="C49" s="111"/>
      <c r="D49" s="111"/>
      <c r="E49" s="111"/>
      <c r="F49" s="112"/>
      <c r="G49" s="24">
        <f>(G46+G48)*'Fane 14. Nøgletal'!C29</f>
        <v>429988.09490976774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3" t="s">
        <v>160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0" t="s">
        <v>161</v>
      </c>
      <c r="C54" s="111"/>
      <c r="D54" s="111"/>
      <c r="E54" s="111"/>
      <c r="F54" s="112"/>
      <c r="G54" s="24">
        <f>(G46+G48-G49)*(1+'Fane 14. Nøgletal'!C14)</f>
        <v>21138945.725525528</v>
      </c>
      <c r="H54" s="14" t="s">
        <v>3</v>
      </c>
      <c r="I54" s="1"/>
    </row>
    <row r="55" spans="1:9" x14ac:dyDescent="0.25">
      <c r="A55" s="1"/>
      <c r="B55" s="110" t="s">
        <v>162</v>
      </c>
      <c r="C55" s="111"/>
      <c r="D55" s="111"/>
      <c r="E55" s="111"/>
      <c r="F55" s="112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10" t="s">
        <v>163</v>
      </c>
      <c r="C56" s="111"/>
      <c r="D56" s="111"/>
      <c r="E56" s="111"/>
      <c r="F56" s="112"/>
      <c r="G56" s="24">
        <f>(G54+G55)*'Fane 14. Nøgletal'!C29</f>
        <v>422778.91451051057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13" t="s">
        <v>224</v>
      </c>
      <c r="C59" s="114"/>
      <c r="D59" s="114"/>
      <c r="E59" s="114"/>
      <c r="F59" s="114"/>
      <c r="G59" s="114"/>
      <c r="H59" s="115"/>
      <c r="I59" s="1"/>
    </row>
    <row r="60" spans="1:9" x14ac:dyDescent="0.2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20784530.161491368</v>
      </c>
      <c r="H60" s="14" t="s">
        <v>3</v>
      </c>
      <c r="I60" s="1"/>
    </row>
    <row r="61" spans="1:9" x14ac:dyDescent="0.25">
      <c r="A61" s="1"/>
      <c r="B61" s="55" t="s">
        <v>237</v>
      </c>
      <c r="C61" s="56"/>
      <c r="D61" s="56"/>
      <c r="E61" s="56"/>
      <c r="F61" s="57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415690.60322982736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ez1gM/DfY8E4vwojzi+M7fBrrnx6BfqHhZImXjuL6G94HzN6N/oCmnAmGMpXG24BPCUpx5sw9K5RoC/cqqZgUQ==" saltValue="zLFOc6/84GkOcaHvaPsG4g==" spinCount="100000" sheet="1" objects="1" scenarios="1"/>
  <mergeCells count="40"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25">
      <c r="A3" s="1"/>
      <c r="B3" s="119"/>
      <c r="C3" s="119"/>
      <c r="D3" s="119"/>
      <c r="E3" s="119"/>
      <c r="F3" s="119"/>
      <c r="G3" s="119"/>
      <c r="H3" s="119"/>
      <c r="I3" s="1"/>
    </row>
    <row r="4" spans="1:9" x14ac:dyDescent="0.25">
      <c r="A4" s="1"/>
      <c r="B4" s="113" t="s">
        <v>246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0" t="s">
        <v>247</v>
      </c>
      <c r="C5" s="111"/>
      <c r="D5" s="111"/>
      <c r="E5" s="111"/>
      <c r="F5" s="112"/>
      <c r="G5" s="24">
        <v>35864706</v>
      </c>
      <c r="H5" s="14" t="s">
        <v>3</v>
      </c>
      <c r="I5" s="1"/>
    </row>
    <row r="6" spans="1:9" x14ac:dyDescent="0.25">
      <c r="A6" s="1"/>
      <c r="B6" s="110" t="s">
        <v>239</v>
      </c>
      <c r="C6" s="111"/>
      <c r="D6" s="111"/>
      <c r="E6" s="111"/>
      <c r="F6" s="112"/>
      <c r="G6" s="24">
        <f>G5*'Fane 14. Nøgletal'!C19</f>
        <v>326368.82459999999</v>
      </c>
      <c r="H6" s="14" t="s">
        <v>3</v>
      </c>
      <c r="I6" s="1"/>
    </row>
    <row r="7" spans="1:9" x14ac:dyDescent="0.25">
      <c r="A7" s="1"/>
      <c r="B7" s="35"/>
      <c r="C7" s="36"/>
      <c r="D7" s="36"/>
      <c r="E7" s="36"/>
      <c r="F7" s="36"/>
      <c r="G7" s="3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59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0" t="s">
        <v>248</v>
      </c>
      <c r="C10" s="111"/>
      <c r="D10" s="111"/>
      <c r="E10" s="111"/>
      <c r="F10" s="112"/>
      <c r="G10" s="24">
        <f>(G5-G6)*(1+'Fane 14. Nøgletal'!C10)</f>
        <v>36160258.075969502</v>
      </c>
      <c r="H10" s="14" t="s">
        <v>3</v>
      </c>
      <c r="I10" s="1"/>
    </row>
    <row r="11" spans="1:9" x14ac:dyDescent="0.25">
      <c r="A11" s="1"/>
      <c r="B11" s="110" t="s">
        <v>134</v>
      </c>
      <c r="C11" s="111"/>
      <c r="D11" s="111"/>
      <c r="E11" s="111"/>
      <c r="F11" s="112"/>
      <c r="G11" s="24">
        <v>568463.40029559389</v>
      </c>
      <c r="H11" s="14" t="s">
        <v>3</v>
      </c>
      <c r="I11" s="1"/>
    </row>
    <row r="12" spans="1:9" x14ac:dyDescent="0.25">
      <c r="A12" s="1"/>
      <c r="B12" s="107" t="s">
        <v>249</v>
      </c>
      <c r="C12" s="108"/>
      <c r="D12" s="108"/>
      <c r="E12" s="108"/>
      <c r="F12" s="109"/>
      <c r="G12" s="7">
        <v>0</v>
      </c>
      <c r="H12" s="14" t="s">
        <v>3</v>
      </c>
      <c r="I12" s="1"/>
    </row>
    <row r="13" spans="1:9" x14ac:dyDescent="0.25">
      <c r="A13" s="1"/>
      <c r="B13" s="110" t="s">
        <v>60</v>
      </c>
      <c r="C13" s="111"/>
      <c r="D13" s="111"/>
      <c r="E13" s="111"/>
      <c r="F13" s="112"/>
      <c r="G13" s="24">
        <f>SUM(G10:G12)*'Fane 14. Nøgletal'!C20</f>
        <v>650098.37012989225</v>
      </c>
      <c r="H13" s="14" t="s">
        <v>3</v>
      </c>
      <c r="I13" s="1"/>
    </row>
    <row r="14" spans="1:9" x14ac:dyDescent="0.25">
      <c r="A14" s="1"/>
      <c r="B14" s="35"/>
      <c r="C14" s="36"/>
      <c r="D14" s="36"/>
      <c r="E14" s="36"/>
      <c r="F14" s="36"/>
      <c r="G14" s="3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3" t="s">
        <v>61</v>
      </c>
      <c r="C16" s="114"/>
      <c r="D16" s="114"/>
      <c r="E16" s="114"/>
      <c r="F16" s="114"/>
      <c r="G16" s="114"/>
      <c r="H16" s="115"/>
      <c r="I16" s="1"/>
    </row>
    <row r="17" spans="1:9" x14ac:dyDescent="0.25">
      <c r="A17" s="1"/>
      <c r="B17" s="110" t="s">
        <v>62</v>
      </c>
      <c r="C17" s="111"/>
      <c r="D17" s="111"/>
      <c r="E17" s="111"/>
      <c r="F17" s="112"/>
      <c r="G17" s="24">
        <f>(G10+G11+G12-G13)*(1+'Fane 14. Nøgletal'!C10)</f>
        <v>36709999.010492571</v>
      </c>
      <c r="H17" s="14" t="s">
        <v>3</v>
      </c>
      <c r="I17" s="1"/>
    </row>
    <row r="18" spans="1:9" x14ac:dyDescent="0.25">
      <c r="A18" s="1"/>
      <c r="B18" s="107" t="s">
        <v>63</v>
      </c>
      <c r="C18" s="108"/>
      <c r="D18" s="108"/>
      <c r="E18" s="108"/>
      <c r="F18" s="109"/>
      <c r="G18" s="24">
        <v>901114.60958131985</v>
      </c>
      <c r="H18" s="14" t="s">
        <v>3</v>
      </c>
      <c r="I18" s="1"/>
    </row>
    <row r="19" spans="1:9" x14ac:dyDescent="0.25">
      <c r="A19" s="1"/>
      <c r="B19" s="110" t="s">
        <v>64</v>
      </c>
      <c r="C19" s="111"/>
      <c r="D19" s="111"/>
      <c r="E19" s="111"/>
      <c r="F19" s="112"/>
      <c r="G19" s="24">
        <f>G17*'Fane 14. Nøgletal'!C20+G18*'Fane 14. Nøgletal'!C21</f>
        <v>657606.67958907608</v>
      </c>
      <c r="H19" s="14" t="s">
        <v>3</v>
      </c>
      <c r="I19" s="1"/>
    </row>
    <row r="20" spans="1:9" x14ac:dyDescent="0.25">
      <c r="A20" s="1"/>
      <c r="B20" s="35"/>
      <c r="C20" s="36"/>
      <c r="D20" s="36"/>
      <c r="E20" s="36"/>
      <c r="F20" s="36"/>
      <c r="G20" s="3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222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0" t="s">
        <v>65</v>
      </c>
      <c r="C23" s="111"/>
      <c r="D23" s="111"/>
      <c r="E23" s="111"/>
      <c r="F23" s="112"/>
      <c r="G23" s="24">
        <f>G17*(1-'Fane 14. Nøgletal'!C20)*(1+'Fane 14. Nøgletal'!C10)+G18*(1-'Fane 14. Nøgletal'!C21)*(1+'Fane 14. Nøgletal'!C11)</f>
        <v>37599657.346995816</v>
      </c>
      <c r="H23" s="14" t="s">
        <v>3</v>
      </c>
      <c r="I23" s="1"/>
    </row>
    <row r="24" spans="1:9" x14ac:dyDescent="0.25">
      <c r="A24" s="1"/>
      <c r="B24" s="116" t="s">
        <v>250</v>
      </c>
      <c r="C24" s="108"/>
      <c r="D24" s="108"/>
      <c r="E24" s="108"/>
      <c r="F24" s="109"/>
      <c r="G24" s="24">
        <f>G18*(1-'Fane 14. Nøgletal'!C21)*(1+'Fane 14. Nøgletal'!C11)</f>
        <v>908371.2584988398</v>
      </c>
      <c r="H24" s="14" t="s">
        <v>3</v>
      </c>
      <c r="I24" s="1"/>
    </row>
    <row r="25" spans="1:9" x14ac:dyDescent="0.25">
      <c r="A25" s="1"/>
      <c r="B25" s="107" t="s">
        <v>66</v>
      </c>
      <c r="C25" s="108"/>
      <c r="D25" s="108"/>
      <c r="E25" s="108"/>
      <c r="F25" s="109"/>
      <c r="G25" s="24">
        <v>64179.880067160004</v>
      </c>
      <c r="H25" s="14" t="s">
        <v>3</v>
      </c>
      <c r="I25" s="1"/>
    </row>
    <row r="26" spans="1:9" x14ac:dyDescent="0.25">
      <c r="A26" s="1"/>
      <c r="B26" s="110" t="s">
        <v>67</v>
      </c>
      <c r="C26" s="111"/>
      <c r="D26" s="111"/>
      <c r="E26" s="111"/>
      <c r="F26" s="112"/>
      <c r="G26" s="24">
        <f>(G23-G24)*'Fane 14. Nøgletal'!C21+G24*'Fane 14. Nøgletal'!C22+G25*'Fane 14. Nøgletal'!C23</f>
        <v>346776.87941313762</v>
      </c>
      <c r="H26" s="14" t="s">
        <v>3</v>
      </c>
      <c r="I26" s="1"/>
    </row>
    <row r="27" spans="1:9" x14ac:dyDescent="0.25">
      <c r="A27" s="1"/>
      <c r="B27" s="35"/>
      <c r="C27" s="36"/>
      <c r="D27" s="36"/>
      <c r="E27" s="36"/>
      <c r="F27" s="36"/>
      <c r="G27" s="3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3" t="s">
        <v>68</v>
      </c>
      <c r="C29" s="114"/>
      <c r="D29" s="114"/>
      <c r="E29" s="114"/>
      <c r="F29" s="114"/>
      <c r="G29" s="114"/>
      <c r="H29" s="115"/>
      <c r="I29" s="1"/>
    </row>
    <row r="30" spans="1:9" x14ac:dyDescent="0.25">
      <c r="A30" s="1"/>
      <c r="B30" s="110" t="s">
        <v>69</v>
      </c>
      <c r="C30" s="111"/>
      <c r="D30" s="111"/>
      <c r="E30" s="111"/>
      <c r="F30" s="112"/>
      <c r="G30" s="24">
        <f>(G23-G24)*(1-'Fane 14. Nøgletal'!C20)*(1+'Fane 14. Nøgletal'!C10)+G24*(1-'Fane 14. Nøgletal'!C21)*(1+'Fane 14. Nøgletal'!C11)+G25*(1-'Fane 14. Nøgletal'!C22)*(1+'Fane 14. Nøgletal'!C12)</f>
        <v>37651854.658157028</v>
      </c>
      <c r="H30" s="14" t="s">
        <v>3</v>
      </c>
      <c r="I30" s="1"/>
    </row>
    <row r="31" spans="1:9" x14ac:dyDescent="0.25">
      <c r="A31" s="1"/>
      <c r="B31" s="116" t="s">
        <v>251</v>
      </c>
      <c r="C31" s="108"/>
      <c r="D31" s="108"/>
      <c r="E31" s="108"/>
      <c r="F31" s="109"/>
      <c r="G31" s="24">
        <f>G24*(1-'Fane 14. Nøgletal'!C21)*(1+'Fane 14. Nøgletal'!C11)</f>
        <v>915686.34499239305</v>
      </c>
      <c r="H31" s="14" t="s">
        <v>3</v>
      </c>
      <c r="I31" s="1"/>
    </row>
    <row r="32" spans="1:9" x14ac:dyDescent="0.25">
      <c r="A32" s="1"/>
      <c r="B32" s="116" t="s">
        <v>129</v>
      </c>
      <c r="C32" s="108"/>
      <c r="D32" s="108"/>
      <c r="E32" s="108"/>
      <c r="F32" s="109"/>
      <c r="G32" s="24">
        <f>G25*(1-'Fane 14. Nøgletal'!C22)*(1+'Fane 14. Nøgletal'!C12)</f>
        <v>63585.60775127574</v>
      </c>
      <c r="H32" s="14" t="s">
        <v>3</v>
      </c>
      <c r="I32" s="1"/>
    </row>
    <row r="33" spans="1:9" x14ac:dyDescent="0.25">
      <c r="A33" s="1"/>
      <c r="B33" s="110" t="s">
        <v>164</v>
      </c>
      <c r="C33" s="111"/>
      <c r="D33" s="111"/>
      <c r="E33" s="111"/>
      <c r="F33" s="112"/>
      <c r="G33" s="24">
        <v>337222.05429527996</v>
      </c>
      <c r="H33" s="14" t="s">
        <v>3</v>
      </c>
      <c r="I33" s="1"/>
    </row>
    <row r="34" spans="1:9" x14ac:dyDescent="0.25">
      <c r="A34" s="1"/>
      <c r="B34" s="110" t="s">
        <v>70</v>
      </c>
      <c r="C34" s="111"/>
      <c r="D34" s="111"/>
      <c r="E34" s="111"/>
      <c r="F34" s="112"/>
      <c r="G34" s="24">
        <f>(G30-SUM(G31:G32))*'Fane 14. Nøgletal'!C20+G31*'Fane 14. Nøgletal'!C21+G32*'Fane 14. Nøgletal'!C22+G33*'Fane 14. Nøgletal'!C23</f>
        <v>668150.62284050661</v>
      </c>
      <c r="H34" s="14" t="s">
        <v>3</v>
      </c>
      <c r="I34" s="1"/>
    </row>
    <row r="35" spans="1:9" x14ac:dyDescent="0.25">
      <c r="A35" s="1"/>
      <c r="B35" s="35"/>
      <c r="C35" s="36"/>
      <c r="D35" s="36"/>
      <c r="E35" s="36"/>
      <c r="F35" s="36"/>
      <c r="G35" s="36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13" t="s">
        <v>192</v>
      </c>
      <c r="C37" s="114"/>
      <c r="D37" s="114"/>
      <c r="E37" s="114"/>
      <c r="F37" s="114"/>
      <c r="G37" s="114"/>
      <c r="H37" s="115"/>
      <c r="I37" s="1"/>
    </row>
    <row r="38" spans="1:9" x14ac:dyDescent="0.25">
      <c r="A38" s="1"/>
      <c r="B38" s="110" t="s">
        <v>252</v>
      </c>
      <c r="C38" s="111"/>
      <c r="D38" s="111"/>
      <c r="E38" s="111"/>
      <c r="F38" s="112"/>
      <c r="G38" s="24">
        <f>(SUM(G30,G33)-G34)*(1+'Fane 14. Nøgletal'!C14)</f>
        <v>37444085.145707518</v>
      </c>
      <c r="H38" s="14" t="s">
        <v>3</v>
      </c>
      <c r="I38" s="1"/>
    </row>
    <row r="39" spans="1:9" x14ac:dyDescent="0.25">
      <c r="A39" s="1"/>
      <c r="B39" s="110" t="s">
        <v>193</v>
      </c>
      <c r="C39" s="111"/>
      <c r="D39" s="111"/>
      <c r="E39" s="111"/>
      <c r="F39" s="112"/>
      <c r="G39" s="24">
        <f>SUM('Fane 2.1. Økonomisk ramme 2022'!C11,'Fane 2.1. Økonomisk ramme 2022'!C13,'Fane 2.1. Økonomisk ramme 2022'!C15)*(1+'Fane 14. Nøgletal'!C14)</f>
        <v>169702.51672332003</v>
      </c>
      <c r="H39" s="14" t="s">
        <v>3</v>
      </c>
      <c r="I39" s="1"/>
    </row>
    <row r="40" spans="1:9" x14ac:dyDescent="0.25">
      <c r="A40" s="1"/>
      <c r="B40" s="110" t="s">
        <v>194</v>
      </c>
      <c r="C40" s="111"/>
      <c r="D40" s="111"/>
      <c r="E40" s="111"/>
      <c r="F40" s="112"/>
      <c r="G40" s="24">
        <f>(G38+G39)*'Fane 14. Nøgletal'!C24</f>
        <v>556684.05740397645</v>
      </c>
      <c r="H40" s="14" t="s">
        <v>3</v>
      </c>
      <c r="I40" s="1"/>
    </row>
    <row r="41" spans="1:9" x14ac:dyDescent="0.25">
      <c r="A41" s="1"/>
      <c r="B41" s="35"/>
      <c r="C41" s="36"/>
      <c r="D41" s="36"/>
      <c r="E41" s="36"/>
      <c r="F41" s="36"/>
      <c r="G41" s="36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13" t="s">
        <v>253</v>
      </c>
      <c r="C43" s="114"/>
      <c r="D43" s="114"/>
      <c r="E43" s="114"/>
      <c r="F43" s="114"/>
      <c r="G43" s="114"/>
      <c r="H43" s="115"/>
      <c r="I43" s="1"/>
    </row>
    <row r="44" spans="1:9" x14ac:dyDescent="0.25">
      <c r="A44" s="1"/>
      <c r="B44" s="110" t="s">
        <v>71</v>
      </c>
      <c r="C44" s="111"/>
      <c r="D44" s="111"/>
      <c r="E44" s="111"/>
      <c r="F44" s="112"/>
      <c r="G44" s="24">
        <f>(G38+G39-G40)*(1+'Fane 14. Nøgletal'!C14)</f>
        <v>37179392.046923459</v>
      </c>
      <c r="H44" s="14" t="s">
        <v>3</v>
      </c>
      <c r="I44" s="1"/>
    </row>
    <row r="45" spans="1:9" x14ac:dyDescent="0.25">
      <c r="A45" s="1"/>
      <c r="B45" s="116" t="s">
        <v>260</v>
      </c>
      <c r="C45" s="108"/>
      <c r="D45" s="108"/>
      <c r="E45" s="108"/>
      <c r="F45" s="109"/>
      <c r="G45" s="24">
        <f>G39*(1+'Fane 14. Nøgletal'!C14)</f>
        <v>170262.535028507</v>
      </c>
      <c r="H45" s="14" t="s">
        <v>3</v>
      </c>
      <c r="I45" s="1"/>
    </row>
    <row r="46" spans="1:9" x14ac:dyDescent="0.25">
      <c r="A46" s="1"/>
      <c r="B46" s="110" t="s">
        <v>85</v>
      </c>
      <c r="C46" s="111"/>
      <c r="D46" s="111"/>
      <c r="E46" s="111"/>
      <c r="F46" s="112"/>
      <c r="G46" s="7">
        <f>-'Fane 13. Bortfald'!E18*(1+'Fane 14. Nøgletal'!C14)</f>
        <v>0</v>
      </c>
      <c r="H46" s="14" t="s">
        <v>3</v>
      </c>
      <c r="I46" s="1"/>
    </row>
    <row r="47" spans="1:9" x14ac:dyDescent="0.25">
      <c r="A47" s="1"/>
      <c r="B47" s="110" t="s">
        <v>259</v>
      </c>
      <c r="C47" s="111"/>
      <c r="D47" s="111"/>
      <c r="E47" s="111"/>
      <c r="F47" s="112"/>
      <c r="G47" s="24">
        <f>(G44+G46)*'Fane 14. Nøgletal'!C24</f>
        <v>550255.00229446718</v>
      </c>
      <c r="H47" s="14" t="s">
        <v>3</v>
      </c>
      <c r="I47" s="1"/>
    </row>
    <row r="48" spans="1:9" x14ac:dyDescent="0.25">
      <c r="A48" s="1"/>
      <c r="B48" s="35"/>
      <c r="C48" s="36"/>
      <c r="D48" s="36"/>
      <c r="E48" s="36"/>
      <c r="F48" s="36"/>
      <c r="G48" s="3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3" t="s">
        <v>165</v>
      </c>
      <c r="C51" s="114"/>
      <c r="D51" s="114"/>
      <c r="E51" s="114"/>
      <c r="F51" s="114"/>
      <c r="G51" s="114"/>
      <c r="H51" s="115"/>
      <c r="I51" s="1"/>
    </row>
    <row r="52" spans="1:9" x14ac:dyDescent="0.25">
      <c r="A52" s="1"/>
      <c r="B52" s="110" t="s">
        <v>166</v>
      </c>
      <c r="C52" s="111"/>
      <c r="D52" s="111"/>
      <c r="E52" s="111"/>
      <c r="F52" s="112"/>
      <c r="G52" s="24">
        <f>(G44+G46-G47)*(1+'Fane 14. Nøgletal'!C14)</f>
        <v>36750013.196876273</v>
      </c>
      <c r="H52" s="14" t="s">
        <v>3</v>
      </c>
      <c r="I52" s="1"/>
    </row>
    <row r="53" spans="1:9" x14ac:dyDescent="0.25">
      <c r="A53" s="1"/>
      <c r="B53" s="110" t="s">
        <v>167</v>
      </c>
      <c r="C53" s="111"/>
      <c r="D53" s="111"/>
      <c r="E53" s="111"/>
      <c r="F53" s="112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10" t="s">
        <v>168</v>
      </c>
      <c r="C54" s="111"/>
      <c r="D54" s="111"/>
      <c r="E54" s="111"/>
      <c r="F54" s="112"/>
      <c r="G54" s="24">
        <f>(G52+G53)*'Fane 14. Nøgletal'!C24</f>
        <v>543900.19531376881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3" t="s">
        <v>225</v>
      </c>
      <c r="C57" s="114"/>
      <c r="D57" s="114"/>
      <c r="E57" s="114"/>
      <c r="F57" s="114"/>
      <c r="G57" s="114"/>
      <c r="H57" s="115"/>
      <c r="I57" s="1"/>
    </row>
    <row r="58" spans="1:9" x14ac:dyDescent="0.25">
      <c r="A58" s="1"/>
      <c r="B58" s="110" t="s">
        <v>166</v>
      </c>
      <c r="C58" s="111"/>
      <c r="D58" s="111"/>
      <c r="E58" s="111"/>
      <c r="F58" s="112"/>
      <c r="G58" s="24">
        <f>(G52+G53-G54)*(1+'Fane 14. Nøgletal'!C14)</f>
        <v>36325593.174467668</v>
      </c>
      <c r="H58" s="14" t="s">
        <v>3</v>
      </c>
      <c r="I58" s="1"/>
    </row>
    <row r="59" spans="1:9" x14ac:dyDescent="0.25">
      <c r="A59" s="1"/>
      <c r="B59" s="110" t="s">
        <v>254</v>
      </c>
      <c r="C59" s="111"/>
      <c r="D59" s="111"/>
      <c r="E59" s="111"/>
      <c r="F59" s="112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10" t="s">
        <v>255</v>
      </c>
      <c r="C60" s="111"/>
      <c r="D60" s="111"/>
      <c r="E60" s="111"/>
      <c r="F60" s="112"/>
      <c r="G60" s="24">
        <f>(G58+G59)*'Fane 14. Nøgletal'!C24</f>
        <v>537618.7789821215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Ft4kVAtWApZnegklTb2CZ/NXLVFD9XOa0x6uNCkCY46pTttJ2YobGgCgPBNbGPlnbqtCjRKSkD4GYHwRbY+CSw==" saltValue="jEWF8lfGQ5r64bIXZ8liqw==" spinCount="100000" sheet="1" objects="1" scenarios="1"/>
  <mergeCells count="41">
    <mergeCell ref="B57:H57"/>
    <mergeCell ref="B44:F44"/>
    <mergeCell ref="B58:F58"/>
    <mergeCell ref="B59:F59"/>
    <mergeCell ref="B60:F60"/>
    <mergeCell ref="B45:F45"/>
    <mergeCell ref="B46:F46"/>
    <mergeCell ref="B53:F53"/>
    <mergeCell ref="B52:F52"/>
    <mergeCell ref="B54:F54"/>
    <mergeCell ref="B51:H51"/>
    <mergeCell ref="B47:F47"/>
    <mergeCell ref="B22:H22"/>
    <mergeCell ref="B16:H16"/>
    <mergeCell ref="B18:F18"/>
    <mergeCell ref="B23:F23"/>
    <mergeCell ref="B39:F39"/>
    <mergeCell ref="B31:F31"/>
    <mergeCell ref="B32:F32"/>
    <mergeCell ref="B38:F38"/>
    <mergeCell ref="B25:F25"/>
    <mergeCell ref="B26:F26"/>
    <mergeCell ref="B40:F40"/>
    <mergeCell ref="B43:H43"/>
    <mergeCell ref="B24:F24"/>
    <mergeCell ref="B29:H29"/>
    <mergeCell ref="B30:F30"/>
    <mergeCell ref="B34:F34"/>
    <mergeCell ref="B37:H37"/>
    <mergeCell ref="B33:F33"/>
    <mergeCell ref="B2:H3"/>
    <mergeCell ref="B19:F19"/>
    <mergeCell ref="B4:H4"/>
    <mergeCell ref="B5:F5"/>
    <mergeCell ref="B6:F6"/>
    <mergeCell ref="B9:H9"/>
    <mergeCell ref="B11:F11"/>
    <mergeCell ref="B10:F10"/>
    <mergeCell ref="B12:F12"/>
    <mergeCell ref="B13:F13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10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0" t="s">
        <v>261</v>
      </c>
      <c r="C9" s="111"/>
      <c r="D9" s="111"/>
      <c r="E9" s="111"/>
      <c r="F9" s="112"/>
      <c r="G9" s="23">
        <v>0</v>
      </c>
      <c r="H9" s="14"/>
      <c r="I9" s="1"/>
    </row>
    <row r="10" spans="1:9" x14ac:dyDescent="0.25">
      <c r="A10" s="1"/>
      <c r="B10" s="110" t="s">
        <v>105</v>
      </c>
      <c r="C10" s="111"/>
      <c r="D10" s="111"/>
      <c r="E10" s="111"/>
      <c r="F10" s="112"/>
      <c r="G10" s="23">
        <v>0</v>
      </c>
      <c r="H10" s="14"/>
      <c r="I10" s="1"/>
    </row>
    <row r="11" spans="1:9" x14ac:dyDescent="0.25">
      <c r="A11" s="1"/>
      <c r="B11" s="110" t="s">
        <v>195</v>
      </c>
      <c r="C11" s="111"/>
      <c r="D11" s="111"/>
      <c r="E11" s="111"/>
      <c r="F11" s="112"/>
      <c r="G11" s="23">
        <v>1.5853882326922757E-3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+hA558m2l+O9H1b9MOpfqrUraHMuSd+r0W2SfQmWnKJxrbbo0svsGoWWEw4cPNYSeXUT5jflpN7RW4gjIvwAGQ==" saltValue="gC4rl2xlVgXGnScuq6Zfw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2021-11-01T12:23:00Z</dcterms:modified>
</cp:coreProperties>
</file>