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Odder Vandværk a.m.b.a. (V14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C15" i="19" l="1"/>
  <c r="E31" i="32" l="1"/>
  <c r="E16" i="27" l="1"/>
  <c r="E12" i="11" l="1"/>
  <c r="E13" i="11"/>
  <c r="E10" i="1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9" i="2"/>
  <c r="F14" i="11"/>
  <c r="C10" i="37" s="1"/>
  <c r="C12" i="37" s="1"/>
  <c r="G14" i="11"/>
  <c r="C13" i="37" l="1"/>
  <c r="C11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4" i="11"/>
  <c r="E10" i="37" s="1"/>
  <c r="E12" i="37" s="1"/>
  <c r="G35" i="30" l="1"/>
  <c r="G37" i="30" s="1"/>
  <c r="C19" i="2"/>
  <c r="E13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7" i="2"/>
  <c r="C18" i="2" s="1"/>
  <c r="C21" i="2" s="1"/>
  <c r="C32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<sst xmlns="http://schemas.openxmlformats.org/spreadsheetml/2006/main" count="606" uniqueCount="256">
  <si>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</si>
  <si>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</si>
  <si>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</si>
  <si>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</si>
  <si>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</si>
  <si>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</si>
  <si>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</si>
  <si>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</si>
  <si>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</si>
  <si>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</si>
  <si>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</si>
  <si>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</si>
  <si>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</si>
  <si>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</si>
  <si>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</si>
  <si>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</si>
  <si>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</si>
  <si>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</si>
  <si>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</si>
  <si>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</si>
  <si>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</si>
  <si>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</si>
  <si>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</si>
  <si>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</si>
  <si>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</si>
  <si>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</si>
  <si>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</si>
  <si>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</si>
  <si>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</si>
  <si>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</si>
  <si>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</si>
  <si>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</si>
  <si>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</si>
  <si>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</si>
  <si>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</si>
  <si>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</si>
  <si>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</si>
  <si>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</si>
  <si>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</si>
  <si>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</si>
  <si>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</si>
  <si>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</si>
  <si>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</si>
  <si>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</si>
  <si>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</si>
  <si>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</si>
  <si>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</si>
  <si>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</si>
  <si>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</si>
  <si>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</si>
  <si>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</si>
  <si>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</si>
  <si>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</si>
  <si>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</si>
  <si>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</si>
  <si>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</si>
  <si>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</si>
  <si>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</si>
  <si>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</si>
  <si>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</si>
  <si>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</si>
  <si>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</si>
  <si>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</si>
  <si>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</si>
  <si>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</si>
  <si>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</si>
  <si>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</si>
  <si>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</si>
  <si>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</si>
  <si>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</si>
  <si>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</si>
  <si>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</si>
  <si>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</si>
  <si>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</si>
  <si>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</si>
  <si>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</si>
  <si>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</si>
  <si>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</si>
  <si>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</si>
  <si>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</si>
  <si>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</si>
  <si>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</si>
  <si>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</si>
  <si>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</si>
  <si>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</si>
  <si>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</si>
  <si>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</si>
  <si>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</si>
  <si>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</si>
  <si>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</si>
  <si>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</si>
  <si>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</si>
  <si>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</si>
  <si>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</si>
  <si>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</si>
  <si>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</si>
  <si>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</si>
  <si>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</si>
  <si>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</si>
  <si>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</si>
  <si>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</si>
  <si>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</si>
  <si>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</si>
  <si>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</si>
  <si>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</si>
  <si>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</si>
  <si>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</si>
  <si>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</si>
  <si>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</si>
  <si>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</si>
  <si>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</si>
  <si>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</si>
  <si>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</si>
  <si>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</si>
  <si>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</si>
  <si>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</si>
  <si>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</si>
  <si>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</si>
  <si>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</si>
  <si>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</si>
  <si>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</si>
  <si>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</si>
  <si>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</si>
  <si>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</si>
  <si>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</si>
  <si>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</si>
  <si>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</si>
  <si>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</si>
  <si>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</si>
  <si>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</si>
  <si>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</si>
  <si>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</si>
  <si>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</si>
  <si>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</si>
  <si>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</si>
  <si>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</si>
  <si>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</si>
  <si>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</si>
  <si>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</si>
  <si>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</si>
  <si>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</si>
  <si>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</si>
  <si>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</si>
  <si>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</si>
  <si>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</si>
  <si>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</si>
  <si>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</si>
  <si>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</si>
  <si>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</si>
  <si>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</si>
  <si>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</si>
  <si>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</si>
  <si>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</si>
  <si>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</si>
  <si>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</si>
  <si>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</si>
  <si>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</si>
  <si>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</si>
  <si>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</si>
  <si>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</si>
  <si>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</si>
  <si>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</si>
  <si>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</si>
  <si>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</si>
  <si>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</si>
  <si>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</si>
  <si>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</si>
  <si>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</si>
  <si>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</si>
  <si>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</si>
  <si>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</si>
  <si>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</si>
  <si>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</si>
  <si>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</si>
  <si>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</si>
  <si>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</si>
  <si>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</si>
  <si>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</si>
  <si>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</si>
  <si>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</si>
  <si>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</si>
  <si>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</si>
  <si>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</si>
  <si>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</si>
  <si>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</si>
  <si>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</si>
  <si>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</si>
  <si>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</si>
  <si>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</si>
  <si>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</si>
  <si>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</si>
  <si>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</si>
  <si>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</si>
  <si>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</si>
  <si>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</si>
  <si>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</si>
  <si>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</si>
  <si>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</si>
  <si>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</si>
  <si>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</si>
  <si>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</si>
  <si>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</si>
  <si>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</si>
  <si>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</si>
  <si>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</si>
  <si>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</si>
  <si>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</si>
  <si>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</si>
  <si>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</si>
  <si>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</si>
  <si>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</si>
  <si>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</si>
  <si>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</si>
  <si>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</si>
  <si>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</si>
  <si>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</si>
  <si>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</si>
  <si>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</si>
  <si>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</si>
  <si>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</si>
  <si>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</si>
  <si>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</si>
  <si>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</si>
  <si>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</si>
  <si>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</si>
  <si>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</si>
  <si>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</si>
  <si>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</si>
  <si>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</si>
  <si>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</si>
  <si>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</si>
  <si>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</si>
  <si>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</si>
  <si>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</si>
  <si>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</si>
  <si>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</si>
  <si>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</si>
  <si>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Undersøgelsesudgifter i forbindelse med fusion</t>
  </si>
  <si>
    <t>Ingen tilknyttet virksomhed</t>
  </si>
  <si>
    <t>Ingen bortfald eller nedsættelse</t>
  </si>
  <si>
    <t>Udvidelse af forsyningsområde</t>
  </si>
  <si>
    <t>Ingen engangstillæg</t>
  </si>
  <si>
    <t>Økonomisk ramme for 2024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</si>
  <si>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</si>
  <si>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</si>
  <si>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</si>
  <si>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</si>
  <si>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Ventiler på Ø 50mm &lt; Ledningsnet ≤ Ø110 mm</t>
  </si>
  <si>
    <t>75</t>
  </si>
  <si>
    <t>Afregningsmålere, elektroniske, maksimal gennemstrømning &gt; 4 m3/t ≤ 15 m3/t</t>
  </si>
  <si>
    <t>10</t>
  </si>
  <si>
    <t>Pumpestation (inkl. evt. hydrofor)/trykforøger, Konstruktioner</t>
  </si>
  <si>
    <t>50</t>
  </si>
  <si>
    <t>Ø 50mm &lt; Ledningsnet ≤ Ø110 mm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</si>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</sst>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8" t="s">
        <v>4</v>
      </c>
      <c r="E6" s="58"/>
      <c r="F6" s="58"/>
      <c r="G6" s="58"/>
      <c r="H6" s="3"/>
      <c r="I6" s="1"/>
    </row>
    <row r="7" spans="1:9" ht="15" customHeight="1" x14ac:dyDescent="0.45">
      <c r="A7" s="1"/>
      <c r="B7" s="1"/>
      <c r="C7" s="3"/>
      <c r="D7" s="58"/>
      <c r="E7" s="58"/>
      <c r="F7" s="58"/>
      <c r="G7" s="58"/>
      <c r="H7" s="3"/>
      <c r="I7" s="1"/>
    </row>
    <row r="8" spans="1:9" ht="15.75" x14ac:dyDescent="0.5">
      <c r="A8" s="1"/>
      <c r="B8" s="1"/>
      <c r="C8" s="4"/>
      <c r="D8" s="63" t="s">
        <v>206</v>
      </c>
      <c r="E8" s="63"/>
      <c r="F8" s="63"/>
      <c r="G8" s="6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5" t="s">
        <v>151</v>
      </c>
      <c r="E13" s="56"/>
      <c r="F13" s="56"/>
      <c r="G13" s="57"/>
      <c r="H13" s="1"/>
      <c r="I13" s="1"/>
    </row>
    <row r="14" spans="1:9" x14ac:dyDescent="0.45">
      <c r="A14" s="1"/>
      <c r="B14" s="1"/>
      <c r="C14" s="6" t="s">
        <v>15</v>
      </c>
      <c r="D14" s="55" t="s">
        <v>207</v>
      </c>
      <c r="E14" s="56"/>
      <c r="F14" s="56"/>
      <c r="G14" s="57"/>
      <c r="H14" s="1"/>
      <c r="I14" s="1"/>
    </row>
    <row r="15" spans="1:9" x14ac:dyDescent="0.45">
      <c r="A15" s="1"/>
      <c r="B15" s="1"/>
      <c r="C15" s="6" t="s">
        <v>40</v>
      </c>
      <c r="D15" s="55" t="s">
        <v>93</v>
      </c>
      <c r="E15" s="56"/>
      <c r="F15" s="56"/>
      <c r="G15" s="57"/>
      <c r="H15" s="1"/>
      <c r="I15" s="1"/>
    </row>
    <row r="16" spans="1:9" x14ac:dyDescent="0.45">
      <c r="A16" s="1"/>
      <c r="B16" s="1"/>
      <c r="C16" s="6" t="s">
        <v>41</v>
      </c>
      <c r="D16" s="55" t="s">
        <v>152</v>
      </c>
      <c r="E16" s="56"/>
      <c r="F16" s="56"/>
      <c r="G16" s="57"/>
      <c r="H16" s="1"/>
      <c r="I16" s="1"/>
    </row>
    <row r="17" spans="1:9" x14ac:dyDescent="0.45">
      <c r="A17" s="1"/>
      <c r="B17" s="1"/>
      <c r="C17" s="6" t="s">
        <v>150</v>
      </c>
      <c r="D17" s="55" t="s">
        <v>153</v>
      </c>
      <c r="E17" s="56"/>
      <c r="F17" s="56"/>
      <c r="G17" s="57"/>
      <c r="H17" s="1"/>
      <c r="I17" s="1"/>
    </row>
    <row r="18" spans="1:9" x14ac:dyDescent="0.45">
      <c r="A18" s="1"/>
      <c r="B18" s="1"/>
      <c r="C18" s="33" t="s">
        <v>134</v>
      </c>
      <c r="D18" s="64" t="s">
        <v>114</v>
      </c>
      <c r="E18" s="65"/>
      <c r="F18" s="65"/>
      <c r="G18" s="66"/>
      <c r="H18" s="1"/>
      <c r="I18" s="1"/>
    </row>
    <row r="19" spans="1:9" x14ac:dyDescent="0.45">
      <c r="A19" s="1"/>
      <c r="B19" s="1"/>
      <c r="C19" s="33" t="s">
        <v>135</v>
      </c>
      <c r="D19" s="64" t="s">
        <v>115</v>
      </c>
      <c r="E19" s="65"/>
      <c r="F19" s="65"/>
      <c r="G19" s="66"/>
      <c r="H19" s="1"/>
      <c r="I19" s="1"/>
    </row>
    <row r="20" spans="1:9" x14ac:dyDescent="0.45">
      <c r="A20" s="1"/>
      <c r="B20" s="1"/>
      <c r="C20" s="33" t="s">
        <v>7</v>
      </c>
      <c r="D20" s="64" t="s">
        <v>9</v>
      </c>
      <c r="E20" s="65"/>
      <c r="F20" s="65"/>
      <c r="G20" s="66"/>
      <c r="H20" s="1"/>
      <c r="I20" s="1"/>
    </row>
    <row r="21" spans="1:9" x14ac:dyDescent="0.45">
      <c r="A21" s="1"/>
      <c r="B21" s="1"/>
      <c r="C21" s="6" t="s">
        <v>136</v>
      </c>
      <c r="D21" s="70" t="s">
        <v>12</v>
      </c>
      <c r="E21" s="71"/>
      <c r="F21" s="71"/>
      <c r="G21" s="72"/>
      <c r="H21" s="1"/>
      <c r="I21" s="1"/>
    </row>
    <row r="22" spans="1:9" x14ac:dyDescent="0.45">
      <c r="A22" s="1"/>
      <c r="B22" s="1"/>
      <c r="C22" s="6" t="s">
        <v>97</v>
      </c>
      <c r="D22" s="59" t="s">
        <v>154</v>
      </c>
      <c r="E22" s="60"/>
      <c r="F22" s="60"/>
      <c r="G22" s="61"/>
      <c r="H22" s="1"/>
      <c r="I22" s="1"/>
    </row>
    <row r="23" spans="1:9" x14ac:dyDescent="0.45">
      <c r="A23" s="1"/>
      <c r="B23" s="1"/>
      <c r="C23" s="6" t="s">
        <v>8</v>
      </c>
      <c r="D23" s="59" t="s">
        <v>42</v>
      </c>
      <c r="E23" s="60"/>
      <c r="F23" s="60"/>
      <c r="G23" s="61"/>
      <c r="H23" s="1"/>
      <c r="I23" s="1"/>
    </row>
    <row r="24" spans="1:9" x14ac:dyDescent="0.45">
      <c r="A24" s="1"/>
      <c r="B24" s="1"/>
      <c r="C24" s="6" t="s">
        <v>217</v>
      </c>
      <c r="D24" s="59" t="s">
        <v>98</v>
      </c>
      <c r="E24" s="60"/>
      <c r="F24" s="60"/>
      <c r="G24" s="61"/>
      <c r="H24" s="1"/>
      <c r="I24" s="1"/>
    </row>
    <row r="25" spans="1:9" x14ac:dyDescent="0.45">
      <c r="A25" s="1"/>
      <c r="B25" s="1"/>
      <c r="C25" s="6" t="s">
        <v>218</v>
      </c>
      <c r="D25" s="59" t="s">
        <v>99</v>
      </c>
      <c r="E25" s="60"/>
      <c r="F25" s="60"/>
      <c r="G25" s="61"/>
      <c r="H25" s="1"/>
      <c r="I25" s="1"/>
    </row>
    <row r="26" spans="1:9" x14ac:dyDescent="0.45">
      <c r="A26" s="1"/>
      <c r="B26" s="1"/>
      <c r="C26" s="6" t="s">
        <v>219</v>
      </c>
      <c r="D26" s="59" t="s">
        <v>155</v>
      </c>
      <c r="E26" s="60"/>
      <c r="F26" s="60"/>
      <c r="G26" s="61"/>
      <c r="H26" s="1"/>
      <c r="I26" s="1"/>
    </row>
    <row r="27" spans="1:9" x14ac:dyDescent="0.45">
      <c r="A27" s="1"/>
      <c r="B27" s="1"/>
      <c r="C27" s="6" t="s">
        <v>137</v>
      </c>
      <c r="D27" s="59" t="s">
        <v>43</v>
      </c>
      <c r="E27" s="60"/>
      <c r="F27" s="60"/>
      <c r="G27" s="61"/>
      <c r="H27" s="1"/>
      <c r="I27" s="1"/>
    </row>
    <row r="28" spans="1:9" x14ac:dyDescent="0.45">
      <c r="A28" s="1"/>
      <c r="B28" s="1"/>
      <c r="C28" s="6" t="s">
        <v>128</v>
      </c>
      <c r="D28" s="67" t="s">
        <v>129</v>
      </c>
      <c r="E28" s="68"/>
      <c r="F28" s="68"/>
      <c r="G28" s="6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hDfQVAcDwxtY0EwLRxMvIs8JSsDp5BkD2tW2TSGR9pUrSx737ZaXUAkVW070N7MixHT0V2xQXAgaymEZmRpqw==" saltValue="sPyurgDNrrJnNpc7P+05Fg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9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52" t="s">
        <v>234</v>
      </c>
      <c r="C10" s="9">
        <v>5169986</v>
      </c>
      <c r="D10" s="14" t="s">
        <v>3</v>
      </c>
      <c r="E10" s="1"/>
      <c r="F10" s="1"/>
    </row>
    <row r="11" spans="1:6" x14ac:dyDescent="0.45">
      <c r="A11" s="1"/>
      <c r="B11" s="52" t="s">
        <v>235</v>
      </c>
      <c r="C11" s="9">
        <v>53410</v>
      </c>
      <c r="D11" s="14" t="s">
        <v>3</v>
      </c>
      <c r="E11" s="1"/>
      <c r="F11" s="1"/>
    </row>
    <row r="12" spans="1:6" x14ac:dyDescent="0.45">
      <c r="A12" s="1"/>
      <c r="B12" s="52" t="s">
        <v>236</v>
      </c>
      <c r="C12" s="9">
        <v>4037</v>
      </c>
      <c r="D12" s="14" t="s">
        <v>3</v>
      </c>
      <c r="E12" s="1"/>
      <c r="F12" s="1"/>
    </row>
    <row r="13" spans="1:6" x14ac:dyDescent="0.45">
      <c r="A13" s="1"/>
      <c r="B13" s="52" t="s">
        <v>237</v>
      </c>
      <c r="C13" s="9">
        <v>5950</v>
      </c>
      <c r="D13" s="14" t="s">
        <v>3</v>
      </c>
      <c r="E13" s="1"/>
      <c r="F13" s="1"/>
    </row>
    <row r="14" spans="1:6" x14ac:dyDescent="0.45">
      <c r="A14" s="1"/>
      <c r="B14" s="48" t="s">
        <v>246</v>
      </c>
      <c r="C14" s="9">
        <v>117088</v>
      </c>
      <c r="D14" s="14" t="s">
        <v>3</v>
      </c>
      <c r="E14" s="1"/>
      <c r="F14" s="1"/>
    </row>
    <row r="15" spans="1:6" x14ac:dyDescent="0.45">
      <c r="A15" s="1"/>
      <c r="B15" s="44" t="s">
        <v>169</v>
      </c>
      <c r="C15" s="12">
        <f>SUM(C10:C14)</f>
        <v>5350471</v>
      </c>
      <c r="D15" s="13" t="s">
        <v>3</v>
      </c>
      <c r="E15" s="1"/>
      <c r="F15" s="1"/>
    </row>
    <row r="16" spans="1:6" x14ac:dyDescent="0.45">
      <c r="A16" s="1"/>
      <c r="B16" s="44" t="s">
        <v>170</v>
      </c>
      <c r="C16" s="12">
        <f>C15*(1+'Fane 12. Nøgletal'!C13)^2</f>
        <v>5481818.8565036403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cKUPSy7jKhVZBbPsvEIOA0ENgpq91LDZFc91ZIbn9R9b62bhrZrBwTDdHIN5jdMeL/oounHcH63z5CnQSXMTHA==" saltValue="G81to4Q8Z608c8Zsl9May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92" t="s">
        <v>172</v>
      </c>
      <c r="C2" s="92"/>
      <c r="D2" s="92"/>
      <c r="E2" s="92"/>
      <c r="F2" s="92"/>
      <c r="G2" s="1"/>
    </row>
    <row r="3" spans="1:7" ht="15" customHeight="1" x14ac:dyDescent="0.45">
      <c r="A3" s="1"/>
      <c r="B3" s="92"/>
      <c r="C3" s="92"/>
      <c r="D3" s="92"/>
      <c r="E3" s="92"/>
      <c r="F3" s="92"/>
      <c r="G3" s="1"/>
    </row>
    <row r="4" spans="1:7" ht="15" customHeight="1" x14ac:dyDescent="0.45">
      <c r="A4" s="1"/>
      <c r="B4" s="96" t="s">
        <v>39</v>
      </c>
      <c r="C4" s="97"/>
      <c r="D4" s="97"/>
      <c r="E4" s="97"/>
      <c r="F4" s="98"/>
      <c r="G4" s="1"/>
    </row>
    <row r="5" spans="1:7" ht="15" customHeight="1" x14ac:dyDescent="0.45">
      <c r="A5" s="1"/>
      <c r="B5" s="99" t="s">
        <v>37</v>
      </c>
      <c r="C5" s="100"/>
      <c r="D5" s="101"/>
      <c r="E5" s="9">
        <v>-957503.33166666667</v>
      </c>
      <c r="F5" s="14" t="s">
        <v>3</v>
      </c>
      <c r="G5" s="1"/>
    </row>
    <row r="6" spans="1:7" ht="15" customHeight="1" x14ac:dyDescent="0.45">
      <c r="A6" s="1"/>
      <c r="B6" s="99" t="s">
        <v>38</v>
      </c>
      <c r="C6" s="100"/>
      <c r="D6" s="101"/>
      <c r="E6" s="9">
        <v>1916690.5540243015</v>
      </c>
      <c r="F6" s="14" t="s">
        <v>3</v>
      </c>
      <c r="G6" s="1"/>
    </row>
    <row r="7" spans="1:7" ht="15" customHeight="1" x14ac:dyDescent="0.45">
      <c r="A7" s="1"/>
      <c r="B7" s="107" t="s">
        <v>131</v>
      </c>
      <c r="C7" s="108"/>
      <c r="D7" s="109"/>
      <c r="E7" s="10">
        <f>SUM(E5:E6)</f>
        <v>959187.2223576348</v>
      </c>
      <c r="F7" s="17" t="s">
        <v>3</v>
      </c>
      <c r="G7" s="1"/>
    </row>
    <row r="8" spans="1:7" ht="15" customHeight="1" x14ac:dyDescent="0.45">
      <c r="A8" s="1"/>
      <c r="B8" s="44"/>
      <c r="C8" s="45"/>
      <c r="D8" s="45"/>
      <c r="E8" s="45"/>
      <c r="F8" s="20"/>
      <c r="G8" s="1"/>
    </row>
    <row r="9" spans="1:7" ht="28.5" customHeight="1" x14ac:dyDescent="0.45">
      <c r="A9" s="1"/>
      <c r="B9" s="75" t="s">
        <v>132</v>
      </c>
      <c r="C9" s="76"/>
      <c r="D9" s="76"/>
      <c r="E9" s="76"/>
      <c r="F9" s="77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96" t="s">
        <v>116</v>
      </c>
      <c r="C11" s="97"/>
      <c r="D11" s="97"/>
      <c r="E11" s="97"/>
      <c r="F11" s="98"/>
      <c r="G11" s="1"/>
    </row>
    <row r="12" spans="1:7" x14ac:dyDescent="0.45">
      <c r="A12" s="1"/>
      <c r="B12" s="99" t="s">
        <v>117</v>
      </c>
      <c r="C12" s="100"/>
      <c r="D12" s="101"/>
      <c r="E12" s="9">
        <v>13155085.278314717</v>
      </c>
      <c r="F12" s="14" t="s">
        <v>3</v>
      </c>
      <c r="G12" s="1"/>
    </row>
    <row r="13" spans="1:7" x14ac:dyDescent="0.45">
      <c r="A13" s="1"/>
      <c r="B13" s="99" t="s">
        <v>118</v>
      </c>
      <c r="C13" s="100"/>
      <c r="D13" s="101"/>
      <c r="E13" s="9">
        <v>12867177</v>
      </c>
      <c r="F13" s="14" t="s">
        <v>3</v>
      </c>
      <c r="G13" s="1"/>
    </row>
    <row r="14" spans="1:7" x14ac:dyDescent="0.45">
      <c r="A14" s="1"/>
      <c r="B14" s="99" t="s">
        <v>36</v>
      </c>
      <c r="C14" s="100"/>
      <c r="D14" s="101"/>
      <c r="E14" s="9">
        <v>0</v>
      </c>
      <c r="F14" s="14" t="s">
        <v>3</v>
      </c>
      <c r="G14" s="1"/>
    </row>
    <row r="15" spans="1:7" x14ac:dyDescent="0.45">
      <c r="A15" s="1"/>
      <c r="B15" s="107" t="s">
        <v>208</v>
      </c>
      <c r="C15" s="108"/>
      <c r="D15" s="109"/>
      <c r="E15" s="10">
        <f>E12-(E13-E14)</f>
        <v>287908.27831471711</v>
      </c>
      <c r="F15" s="17" t="s">
        <v>3</v>
      </c>
      <c r="G15" s="1"/>
    </row>
    <row r="16" spans="1:7" x14ac:dyDescent="0.45">
      <c r="A16" s="1"/>
      <c r="B16" s="44"/>
      <c r="C16" s="45"/>
      <c r="D16" s="45"/>
      <c r="E16" s="45"/>
      <c r="F16" s="20"/>
      <c r="G16" s="1"/>
    </row>
    <row r="17" spans="1:7" ht="30" customHeight="1" x14ac:dyDescent="0.45">
      <c r="A17" s="1"/>
      <c r="B17" s="75" t="s">
        <v>133</v>
      </c>
      <c r="C17" s="76"/>
      <c r="D17" s="76"/>
      <c r="E17" s="76"/>
      <c r="F17" s="77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96" t="s">
        <v>50</v>
      </c>
      <c r="C19" s="97"/>
      <c r="D19" s="97"/>
      <c r="E19" s="97"/>
      <c r="F19" s="98"/>
      <c r="G19" s="1"/>
    </row>
    <row r="20" spans="1:7" x14ac:dyDescent="0.45">
      <c r="A20" s="1"/>
      <c r="B20" s="99" t="s">
        <v>51</v>
      </c>
      <c r="C20" s="100"/>
      <c r="D20" s="101"/>
      <c r="E20" s="9">
        <v>14421735.608495696</v>
      </c>
      <c r="F20" s="14" t="s">
        <v>3</v>
      </c>
      <c r="G20" s="1"/>
    </row>
    <row r="21" spans="1:7" x14ac:dyDescent="0.45">
      <c r="A21" s="1"/>
      <c r="B21" s="99" t="s">
        <v>52</v>
      </c>
      <c r="C21" s="100"/>
      <c r="D21" s="101"/>
      <c r="E21" s="9">
        <v>14790888</v>
      </c>
      <c r="F21" s="14" t="s">
        <v>3</v>
      </c>
      <c r="G21" s="1"/>
    </row>
    <row r="22" spans="1:7" x14ac:dyDescent="0.45">
      <c r="A22" s="1"/>
      <c r="B22" s="99" t="s">
        <v>36</v>
      </c>
      <c r="C22" s="100"/>
      <c r="D22" s="101"/>
      <c r="E22" s="9">
        <v>0</v>
      </c>
      <c r="F22" s="14" t="s">
        <v>3</v>
      </c>
      <c r="G22" s="1"/>
    </row>
    <row r="23" spans="1:7" x14ac:dyDescent="0.45">
      <c r="A23" s="1"/>
      <c r="B23" s="107" t="s">
        <v>209</v>
      </c>
      <c r="C23" s="108"/>
      <c r="D23" s="109"/>
      <c r="E23" s="10">
        <f>E20-(E21-E22)</f>
        <v>-369152.39150430448</v>
      </c>
      <c r="F23" s="17" t="s">
        <v>3</v>
      </c>
      <c r="G23" s="1"/>
    </row>
    <row r="24" spans="1:7" x14ac:dyDescent="0.45">
      <c r="A24" s="1"/>
      <c r="B24" s="44"/>
      <c r="C24" s="45"/>
      <c r="D24" s="45"/>
      <c r="E24" s="45"/>
      <c r="F24" s="20"/>
      <c r="G24" s="1"/>
    </row>
    <row r="25" spans="1:7" ht="28.5" customHeight="1" x14ac:dyDescent="0.45">
      <c r="A25" s="1"/>
      <c r="B25" s="75" t="s">
        <v>179</v>
      </c>
      <c r="C25" s="76"/>
      <c r="D25" s="76"/>
      <c r="E25" s="76"/>
      <c r="F25" s="77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96" t="s">
        <v>200</v>
      </c>
      <c r="C27" s="97"/>
      <c r="D27" s="97"/>
      <c r="E27" s="97"/>
      <c r="F27" s="98"/>
      <c r="G27" s="1"/>
    </row>
    <row r="28" spans="1:7" x14ac:dyDescent="0.45">
      <c r="A28" s="1"/>
      <c r="B28" s="99" t="s">
        <v>201</v>
      </c>
      <c r="C28" s="100"/>
      <c r="D28" s="101"/>
      <c r="E28" s="9">
        <v>14821398.882624999</v>
      </c>
      <c r="F28" s="14" t="s">
        <v>3</v>
      </c>
      <c r="G28" s="1"/>
    </row>
    <row r="29" spans="1:7" x14ac:dyDescent="0.45">
      <c r="A29" s="1"/>
      <c r="B29" s="99" t="s">
        <v>202</v>
      </c>
      <c r="C29" s="100"/>
      <c r="D29" s="101"/>
      <c r="E29" s="9">
        <v>15129843.140000001</v>
      </c>
      <c r="F29" s="14" t="s">
        <v>3</v>
      </c>
      <c r="G29" s="1"/>
    </row>
    <row r="30" spans="1:7" x14ac:dyDescent="0.45">
      <c r="A30" s="1"/>
      <c r="B30" s="99" t="s">
        <v>36</v>
      </c>
      <c r="C30" s="100"/>
      <c r="D30" s="101"/>
      <c r="E30" s="9">
        <v>0</v>
      </c>
      <c r="F30" s="14" t="s">
        <v>3</v>
      </c>
      <c r="G30" s="1"/>
    </row>
    <row r="31" spans="1:7" x14ac:dyDescent="0.45">
      <c r="A31" s="1"/>
      <c r="B31" s="107" t="s">
        <v>210</v>
      </c>
      <c r="C31" s="108"/>
      <c r="D31" s="109"/>
      <c r="E31" s="10">
        <f>E28-(E29-E30)</f>
        <v>-308444.25737500191</v>
      </c>
      <c r="F31" s="17" t="s">
        <v>3</v>
      </c>
      <c r="G31" s="1"/>
    </row>
    <row r="32" spans="1:7" x14ac:dyDescent="0.45">
      <c r="A32" s="1"/>
      <c r="B32" s="44"/>
      <c r="C32" s="45"/>
      <c r="D32" s="45"/>
      <c r="E32" s="45"/>
      <c r="F32" s="20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96" t="s">
        <v>125</v>
      </c>
      <c r="C34" s="97"/>
      <c r="D34" s="97"/>
      <c r="E34" s="97"/>
      <c r="F34" s="98"/>
      <c r="G34" s="1"/>
    </row>
    <row r="35" spans="1:7" x14ac:dyDescent="0.45">
      <c r="A35" s="1"/>
      <c r="B35" s="110" t="s">
        <v>254</v>
      </c>
      <c r="C35" s="111"/>
      <c r="D35" s="112"/>
      <c r="E35" s="9">
        <v>1</v>
      </c>
      <c r="F35" s="14"/>
      <c r="G35" s="1"/>
    </row>
    <row r="36" spans="1:7" x14ac:dyDescent="0.45">
      <c r="A36" s="1"/>
      <c r="B36" s="110" t="s">
        <v>255</v>
      </c>
      <c r="C36" s="111"/>
      <c r="D36" s="112"/>
      <c r="E36" s="9">
        <v>0</v>
      </c>
      <c r="F36" s="14"/>
      <c r="G36" s="1"/>
    </row>
    <row r="37" spans="1:7" x14ac:dyDescent="0.45">
      <c r="A37" s="1"/>
      <c r="B37" s="110" t="s">
        <v>113</v>
      </c>
      <c r="C37" s="111"/>
      <c r="D37" s="112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-389688.37056458928</v>
      </c>
      <c r="F37" s="14" t="s">
        <v>3</v>
      </c>
      <c r="G37" s="1"/>
    </row>
    <row r="38" spans="1:7" x14ac:dyDescent="0.45">
      <c r="A38" s="1"/>
      <c r="B38" s="110" t="s">
        <v>130</v>
      </c>
      <c r="C38" s="111"/>
      <c r="D38" s="112"/>
      <c r="E38" s="9">
        <v>2</v>
      </c>
      <c r="F38" s="14" t="s">
        <v>19</v>
      </c>
      <c r="G38" s="1"/>
    </row>
    <row r="39" spans="1:7" ht="15" customHeight="1" x14ac:dyDescent="0.45">
      <c r="A39" s="1"/>
      <c r="B39" s="113" t="s">
        <v>203</v>
      </c>
      <c r="C39" s="113"/>
      <c r="D39" s="113"/>
      <c r="E39" s="10">
        <f>E37/E38</f>
        <v>-194844.18528229464</v>
      </c>
      <c r="F39" s="17" t="s">
        <v>3</v>
      </c>
      <c r="G39" s="1"/>
    </row>
    <row r="40" spans="1:7" x14ac:dyDescent="0.45">
      <c r="A40" s="1"/>
      <c r="B40" s="96"/>
      <c r="C40" s="97"/>
      <c r="D40" s="97"/>
      <c r="E40" s="97"/>
      <c r="F40" s="98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37"/>
      <c r="B44" s="37"/>
      <c r="C44" s="37"/>
      <c r="D44" s="37"/>
      <c r="E44" s="37"/>
      <c r="F44" s="37"/>
      <c r="G44" s="37"/>
    </row>
    <row r="45" spans="1:7" x14ac:dyDescent="0.45">
      <c r="A45" s="37"/>
      <c r="B45" s="37"/>
      <c r="C45" s="37"/>
      <c r="D45" s="37"/>
      <c r="E45" s="37"/>
      <c r="F45" s="37"/>
      <c r="G45" s="37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</sheetData>
  <sheetProtection algorithmName="SHA-512" hashValue="UIyQRw/YItkyzb6aEWLUPYZlA7NxcoZIVgRvh5+RqbdhnO42CV05C7MCRxoaa7gnEi5Ga7nIIr6OY+w37AEqag==" saltValue="aE0lQCG2FUWaVMaXpn+3wg==" spinCount="100000" sheet="1" objects="1" scenarios="1"/>
  <mergeCells count="30"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7"/>
      <c r="I9" s="1"/>
    </row>
    <row r="10" spans="1:9" ht="26.65" x14ac:dyDescent="0.45">
      <c r="A10" s="1"/>
      <c r="B10" s="40" t="s">
        <v>247</v>
      </c>
      <c r="C10" s="41" t="s">
        <v>248</v>
      </c>
      <c r="D10" s="9">
        <v>129006</v>
      </c>
      <c r="E10" s="9">
        <f>IFERROR(D10/C10,0)</f>
        <v>1720.08</v>
      </c>
      <c r="F10" s="9">
        <v>0</v>
      </c>
      <c r="G10" s="9">
        <v>0</v>
      </c>
      <c r="H10" s="14" t="s">
        <v>3</v>
      </c>
      <c r="I10" s="1"/>
    </row>
    <row r="11" spans="1:9" ht="52.9" x14ac:dyDescent="0.45">
      <c r="A11" s="1"/>
      <c r="B11" s="40" t="s">
        <v>249</v>
      </c>
      <c r="C11" s="41" t="s">
        <v>250</v>
      </c>
      <c r="D11" s="9">
        <v>6455989</v>
      </c>
      <c r="E11" s="9">
        <f>IFERROR(D11/C11,0)</f>
        <v>645598.9</v>
      </c>
      <c r="F11" s="9">
        <v>0</v>
      </c>
      <c r="G11" s="9">
        <v>0</v>
      </c>
      <c r="H11" s="14" t="s">
        <v>3</v>
      </c>
      <c r="I11" s="1"/>
    </row>
    <row r="12" spans="1:9" ht="39.75" x14ac:dyDescent="0.45">
      <c r="A12" s="1"/>
      <c r="B12" s="40" t="s">
        <v>251</v>
      </c>
      <c r="C12" s="41" t="s">
        <v>252</v>
      </c>
      <c r="D12" s="9">
        <v>1029621.54</v>
      </c>
      <c r="E12" s="9">
        <f t="shared" ref="E12:E13" si="0">IFERROR(D12/C12,0)</f>
        <v>20592.430800000002</v>
      </c>
      <c r="F12" s="9">
        <v>0</v>
      </c>
      <c r="G12" s="9">
        <v>0</v>
      </c>
      <c r="H12" s="14" t="s">
        <v>3</v>
      </c>
      <c r="I12" s="1"/>
    </row>
    <row r="13" spans="1:9" ht="26.65" x14ac:dyDescent="0.45">
      <c r="A13" s="1"/>
      <c r="B13" s="40" t="s">
        <v>253</v>
      </c>
      <c r="C13" s="41" t="s">
        <v>248</v>
      </c>
      <c r="D13" s="9">
        <v>274429.89</v>
      </c>
      <c r="E13" s="9">
        <f t="shared" si="0"/>
        <v>3659.0652</v>
      </c>
      <c r="F13" s="9">
        <v>0</v>
      </c>
      <c r="G13" s="9">
        <v>0</v>
      </c>
      <c r="H13" s="14" t="s">
        <v>3</v>
      </c>
      <c r="I13" s="1"/>
    </row>
    <row r="14" spans="1:9" x14ac:dyDescent="0.45">
      <c r="A14" s="1"/>
      <c r="B14" s="96" t="s">
        <v>198</v>
      </c>
      <c r="C14" s="97"/>
      <c r="D14" s="98"/>
      <c r="E14" s="12">
        <f>SUM(E10:E13)</f>
        <v>671570.47599999991</v>
      </c>
      <c r="F14" s="12">
        <f t="shared" ref="F14:G14" si="1">SUM(F10:F13)</f>
        <v>0</v>
      </c>
      <c r="G14" s="12">
        <f t="shared" si="1"/>
        <v>0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/JAqZ3NA/teY24JIsZHLlEljTKxZ8WEZpN+aXDZn8ycTlyvoBDVjml/DeHJcsnLE+EBBi8HXBPFso0U0e+9pg==" saltValue="AamvU59KmytLgdNO2dz/Fg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4" t="s">
        <v>94</v>
      </c>
      <c r="C8" s="45"/>
      <c r="D8" s="45"/>
      <c r="E8" s="45"/>
      <c r="F8" s="20"/>
      <c r="G8" s="1"/>
    </row>
    <row r="9" spans="1:7" ht="17.25" customHeight="1" x14ac:dyDescent="0.45">
      <c r="A9" s="1"/>
      <c r="B9" s="50" t="s">
        <v>16</v>
      </c>
      <c r="C9" s="50" t="s">
        <v>11</v>
      </c>
      <c r="D9" s="51"/>
      <c r="E9" s="50" t="s">
        <v>34</v>
      </c>
      <c r="F9" s="47"/>
      <c r="G9" s="1"/>
    </row>
    <row r="10" spans="1:7" x14ac:dyDescent="0.45">
      <c r="A10" s="1"/>
      <c r="B10" s="25" t="s">
        <v>44</v>
      </c>
      <c r="C10" s="22">
        <f>'Fane 8. Anlægsprojekter'!F14</f>
        <v>0</v>
      </c>
      <c r="D10" s="14" t="s">
        <v>3</v>
      </c>
      <c r="E10" s="9">
        <f>SUM('Fane 8. Anlægsprojekter'!E14,'Fane 8. Anlægsprojekter'!G14)</f>
        <v>671570.47599999991</v>
      </c>
      <c r="F10" s="14" t="s">
        <v>3</v>
      </c>
      <c r="G10" s="1"/>
    </row>
    <row r="11" spans="1:7" x14ac:dyDescent="0.45">
      <c r="A11" s="1"/>
      <c r="B11" s="42" t="s">
        <v>240</v>
      </c>
      <c r="C11" s="22">
        <v>845429</v>
      </c>
      <c r="D11" s="14" t="s">
        <v>3</v>
      </c>
      <c r="E11" s="9">
        <v>12972</v>
      </c>
      <c r="F11" s="14" t="s">
        <v>3</v>
      </c>
      <c r="G11" s="1"/>
    </row>
    <row r="12" spans="1:7" x14ac:dyDescent="0.45">
      <c r="A12" s="1"/>
      <c r="B12" s="44" t="s">
        <v>48</v>
      </c>
      <c r="C12" s="12">
        <f>SUM(C10:C11)</f>
        <v>845429</v>
      </c>
      <c r="D12" s="13" t="s">
        <v>3</v>
      </c>
      <c r="E12" s="12">
        <f>SUM(E10:E11)</f>
        <v>684542.47599999991</v>
      </c>
      <c r="F12" s="13" t="s">
        <v>3</v>
      </c>
      <c r="G12" s="1"/>
    </row>
    <row r="13" spans="1:7" x14ac:dyDescent="0.45">
      <c r="A13" s="1"/>
      <c r="B13" s="44" t="s">
        <v>173</v>
      </c>
      <c r="C13" s="12">
        <f>C12*(1+'Fane 12. Nøgletal'!C13)</f>
        <v>855743.23380000005</v>
      </c>
      <c r="D13" s="13" t="s">
        <v>3</v>
      </c>
      <c r="E13" s="12">
        <f>E12*(1+'Fane 12. Nøgletal'!C13)</f>
        <v>692893.89420719992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z8nSvUmtCB0eS7cVA5ksdZ01y8P2UwRGEpQ6/UH7oOdaBdISjhfoee38K+iVdQUKzPppN5FHFcB66GCpJmN9ew==" saltValue="rf1vjugtykdZOP7gvWPTV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50" t="s">
        <v>16</v>
      </c>
      <c r="C9" s="50" t="s">
        <v>11</v>
      </c>
      <c r="D9" s="51"/>
      <c r="E9" s="50" t="s">
        <v>34</v>
      </c>
      <c r="F9" s="47"/>
      <c r="G9" s="1"/>
    </row>
    <row r="10" spans="1:7" x14ac:dyDescent="0.4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4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4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50" t="s">
        <v>16</v>
      </c>
      <c r="C17" s="50" t="s">
        <v>11</v>
      </c>
      <c r="D17" s="51"/>
      <c r="E17" s="50" t="s">
        <v>34</v>
      </c>
      <c r="F17" s="47"/>
      <c r="G17" s="1"/>
    </row>
    <row r="18" spans="1:7" x14ac:dyDescent="0.4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4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4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50" t="s">
        <v>16</v>
      </c>
      <c r="C25" s="50" t="s">
        <v>11</v>
      </c>
      <c r="D25" s="51"/>
      <c r="E25" s="50" t="s">
        <v>34</v>
      </c>
      <c r="F25" s="47"/>
      <c r="G25" s="1"/>
    </row>
    <row r="26" spans="1:7" x14ac:dyDescent="0.4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4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4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50" t="s">
        <v>16</v>
      </c>
      <c r="C33" s="50" t="s">
        <v>11</v>
      </c>
      <c r="D33" s="51"/>
      <c r="E33" s="50" t="s">
        <v>34</v>
      </c>
      <c r="F33" s="47"/>
      <c r="G33" s="1"/>
    </row>
    <row r="34" spans="1:7" x14ac:dyDescent="0.4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4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4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hOveK8oNtif6b3NIwNjKaF24uprQ0DDR57JlXD0pWl6liO3wGZaAd/PRoUbyPluRyGVouFfQEUcH1lYHVMwFcw==" saltValue="TpfqlbIGuLVkrMDQCFDMP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213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6" t="s">
        <v>157</v>
      </c>
      <c r="C9" s="87" t="s">
        <v>11</v>
      </c>
      <c r="D9" s="89"/>
      <c r="E9" s="87" t="s">
        <v>34</v>
      </c>
      <c r="F9" s="89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RFkmbr/Rs/2lwWLCGRwwJh8yibCT9qb1ZPGEPT7DLxgWlz6/7daPzaoAtnEwmeLt2MbevDrjcOUJpTpAY9NEQw==" saltValue="bUoqd7GRsN3Dvy3qnaFgM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212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6" t="s">
        <v>17</v>
      </c>
      <c r="C9" s="46" t="s">
        <v>11</v>
      </c>
      <c r="D9" s="47"/>
      <c r="E9" s="46" t="s">
        <v>34</v>
      </c>
      <c r="F9" s="47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4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4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6" t="s">
        <v>17</v>
      </c>
      <c r="C16" s="46" t="s">
        <v>11</v>
      </c>
      <c r="D16" s="47"/>
      <c r="E16" s="46" t="s">
        <v>34</v>
      </c>
      <c r="F16" s="47"/>
      <c r="G16" s="1"/>
    </row>
    <row r="17" spans="1:7" x14ac:dyDescent="0.4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4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4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6" t="s">
        <v>17</v>
      </c>
      <c r="C23" s="46" t="s">
        <v>11</v>
      </c>
      <c r="D23" s="47"/>
      <c r="E23" s="46" t="s">
        <v>34</v>
      </c>
      <c r="F23" s="47"/>
      <c r="G23" s="1"/>
    </row>
    <row r="24" spans="1:7" x14ac:dyDescent="0.4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4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4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6" t="s">
        <v>17</v>
      </c>
      <c r="C30" s="46" t="s">
        <v>11</v>
      </c>
      <c r="D30" s="47"/>
      <c r="E30" s="46" t="s">
        <v>34</v>
      </c>
      <c r="F30" s="47"/>
      <c r="G30" s="1"/>
    </row>
    <row r="31" spans="1:7" x14ac:dyDescent="0.4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4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4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hMTWW/Vh+OEXVbwvmBVzQss+ERocVrTrENTGA2vVmwDx1UFbV/vr2ffCCqAtZGrcCzh74DsJCNcVFR5LFQcZzg==" saltValue="iqNDz+rW0WpFktOAXUqU3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2" t="s">
        <v>211</v>
      </c>
      <c r="C3" s="92"/>
      <c r="D3" s="1"/>
    </row>
    <row r="4" spans="1:4" ht="25.5" customHeight="1" x14ac:dyDescent="0.45">
      <c r="A4" s="1"/>
      <c r="B4" s="92"/>
      <c r="C4" s="9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4" t="s">
        <v>14</v>
      </c>
      <c r="C8" s="20"/>
      <c r="D8" s="1"/>
    </row>
    <row r="9" spans="1:4" x14ac:dyDescent="0.45">
      <c r="A9" s="1"/>
      <c r="B9" s="52" t="s">
        <v>141</v>
      </c>
      <c r="C9" s="26">
        <v>1.2699999999999999E-2</v>
      </c>
      <c r="D9" s="1"/>
    </row>
    <row r="10" spans="1:4" x14ac:dyDescent="0.45">
      <c r="A10" s="1"/>
      <c r="B10" s="52" t="s">
        <v>22</v>
      </c>
      <c r="C10" s="26">
        <v>1.7500000000000002E-2</v>
      </c>
      <c r="D10" s="1"/>
    </row>
    <row r="11" spans="1:4" x14ac:dyDescent="0.45">
      <c r="A11" s="1"/>
      <c r="B11" s="52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4" t="s">
        <v>126</v>
      </c>
      <c r="C17" s="20"/>
      <c r="D17" s="1"/>
    </row>
    <row r="18" spans="1:4" x14ac:dyDescent="0.45">
      <c r="A18" s="1"/>
      <c r="B18" s="52" t="s">
        <v>143</v>
      </c>
      <c r="C18" s="23">
        <v>9.1000000000000004E-3</v>
      </c>
      <c r="D18" s="1"/>
    </row>
    <row r="19" spans="1:4" x14ac:dyDescent="0.45">
      <c r="A19" s="1"/>
      <c r="B19" s="52" t="s">
        <v>144</v>
      </c>
      <c r="C19" s="23">
        <v>1.77E-2</v>
      </c>
      <c r="D19" s="1"/>
    </row>
    <row r="20" spans="1:4" x14ac:dyDescent="0.45">
      <c r="A20" s="1"/>
      <c r="B20" s="52" t="s">
        <v>145</v>
      </c>
      <c r="C20" s="23">
        <v>8.6999999999999994E-3</v>
      </c>
      <c r="D20" s="1"/>
    </row>
    <row r="21" spans="1:4" x14ac:dyDescent="0.45">
      <c r="A21" s="1"/>
      <c r="B21" s="52" t="s">
        <v>146</v>
      </c>
      <c r="C21" s="36">
        <v>2.8400000000000002E-2</v>
      </c>
      <c r="D21" s="1"/>
    </row>
    <row r="22" spans="1:4" x14ac:dyDescent="0.45">
      <c r="A22" s="1"/>
      <c r="B22" s="52" t="s">
        <v>186</v>
      </c>
      <c r="C22" s="36">
        <v>2.75E-2</v>
      </c>
      <c r="D22" s="1"/>
    </row>
    <row r="23" spans="1:4" x14ac:dyDescent="0.45">
      <c r="A23" s="1"/>
      <c r="B23" s="44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4" t="s">
        <v>127</v>
      </c>
      <c r="C26" s="20"/>
      <c r="D26" s="1"/>
    </row>
    <row r="27" spans="1:4" x14ac:dyDescent="0.45">
      <c r="A27" s="1"/>
      <c r="B27" s="52" t="s">
        <v>147</v>
      </c>
      <c r="C27" s="26">
        <v>0.02</v>
      </c>
      <c r="D27" s="1"/>
    </row>
    <row r="28" spans="1:4" x14ac:dyDescent="0.45">
      <c r="A28" s="1"/>
      <c r="B28" s="44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N8OickToaKSYsrN7QHKJRomsugVMo/xo5e7lPC6MEmzKoYPk5cMjnaqvcY/HCjiQL5M7Jtvd3yFQCJn84TsIFA==" saltValue="xm/uJh2VnMxJPNPAcAVAdw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4" t="s">
        <v>13</v>
      </c>
      <c r="C8" s="45"/>
      <c r="D8" s="20"/>
      <c r="E8" s="1"/>
    </row>
    <row r="9" spans="1:5" x14ac:dyDescent="0.45">
      <c r="A9" s="1"/>
      <c r="B9" s="48" t="s">
        <v>25</v>
      </c>
      <c r="C9" s="7">
        <f>'Fane 3. Omkostninger i ØR2020'!E20</f>
        <v>11097904.60407893</v>
      </c>
      <c r="D9" s="8" t="s">
        <v>3</v>
      </c>
      <c r="E9" s="1"/>
    </row>
    <row r="10" spans="1:5" x14ac:dyDescent="0.45">
      <c r="A10" s="1"/>
      <c r="B10" s="48" t="s">
        <v>243</v>
      </c>
      <c r="C10" s="7">
        <v>-4971.394520166964</v>
      </c>
      <c r="D10" s="8" t="s">
        <v>3</v>
      </c>
      <c r="E10" s="1"/>
    </row>
    <row r="11" spans="1:5" ht="17.100000000000001" customHeight="1" x14ac:dyDescent="0.45">
      <c r="A11" s="1"/>
      <c r="B11" s="31" t="s">
        <v>45</v>
      </c>
      <c r="C11" s="7">
        <f>'Fane 9.1. Varige tillæg'!C13</f>
        <v>855743.23380000005</v>
      </c>
      <c r="D11" s="8" t="s">
        <v>3</v>
      </c>
      <c r="E11" s="1"/>
    </row>
    <row r="12" spans="1:5" ht="17.100000000000001" customHeight="1" x14ac:dyDescent="0.45">
      <c r="A12" s="1"/>
      <c r="B12" s="31" t="s">
        <v>46</v>
      </c>
      <c r="C12" s="9">
        <f>'Fane 9.1. Varige tillæg'!E13</f>
        <v>692893.89420719992</v>
      </c>
      <c r="D12" s="8" t="s">
        <v>3</v>
      </c>
      <c r="E12" s="1"/>
    </row>
    <row r="13" spans="1:5" ht="17.100000000000001" customHeight="1" x14ac:dyDescent="0.4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45">
      <c r="A17" s="1"/>
      <c r="B17" s="31" t="s">
        <v>18</v>
      </c>
      <c r="C17" s="9">
        <f>SUM(C9:C16)*'Fane 12. Nøgletal'!C13</f>
        <v>154227.15811830474</v>
      </c>
      <c r="D17" s="8" t="s">
        <v>3</v>
      </c>
      <c r="E17" s="1"/>
    </row>
    <row r="18" spans="1:5" ht="17.100000000000001" customHeight="1" x14ac:dyDescent="0.45">
      <c r="A18" s="1"/>
      <c r="B18" s="31" t="s">
        <v>9</v>
      </c>
      <c r="C18" s="9">
        <f>-SUM(C9:C17)*'Fane 5. Individuelt eff. krav'!G10</f>
        <v>-171125.93437606641</v>
      </c>
      <c r="D18" s="8" t="s">
        <v>3</v>
      </c>
      <c r="E18" s="1"/>
    </row>
    <row r="19" spans="1:5" ht="17.100000000000001" customHeight="1" x14ac:dyDescent="0.45">
      <c r="A19" s="1"/>
      <c r="B19" s="31" t="s">
        <v>27</v>
      </c>
      <c r="C19" s="9">
        <f>-'Fane 4.1. Gen. krav - drift'!G31</f>
        <v>-116922.77657437936</v>
      </c>
      <c r="D19" s="8" t="s">
        <v>3</v>
      </c>
      <c r="E19" s="1"/>
    </row>
    <row r="20" spans="1:5" ht="17.100000000000001" customHeight="1" x14ac:dyDescent="0.45">
      <c r="A20" s="1"/>
      <c r="B20" s="31" t="s">
        <v>28</v>
      </c>
      <c r="C20" s="9">
        <f>-'Fane 4.2. Gen. krav - anlæg'!G31</f>
        <v>-201877.82149118421</v>
      </c>
      <c r="D20" s="8" t="s">
        <v>3</v>
      </c>
      <c r="E20" s="1"/>
    </row>
    <row r="21" spans="1:5" ht="17.100000000000001" customHeight="1" x14ac:dyDescent="0.45">
      <c r="A21" s="1"/>
      <c r="B21" s="53" t="s">
        <v>20</v>
      </c>
      <c r="C21" s="10">
        <f>SUM(C9:C20)</f>
        <v>12305870.963242637</v>
      </c>
      <c r="D21" s="11" t="s">
        <v>3</v>
      </c>
      <c r="E21" s="1"/>
    </row>
    <row r="22" spans="1:5" ht="15" customHeight="1" x14ac:dyDescent="0.45">
      <c r="A22" s="1"/>
      <c r="B22" s="44" t="s">
        <v>12</v>
      </c>
      <c r="C22" s="45"/>
      <c r="D22" s="20"/>
      <c r="E22" s="1"/>
    </row>
    <row r="23" spans="1:5" ht="15" customHeight="1" x14ac:dyDescent="0.45">
      <c r="A23" s="1"/>
      <c r="B23" s="46" t="s">
        <v>12</v>
      </c>
      <c r="C23" s="10">
        <f>'Fane 6. Ikke-påvirkelige omk.'!C16</f>
        <v>5481818.8565036403</v>
      </c>
      <c r="D23" s="11" t="s">
        <v>3</v>
      </c>
      <c r="E23" s="1"/>
    </row>
    <row r="24" spans="1:5" ht="15" customHeight="1" x14ac:dyDescent="0.45">
      <c r="A24" s="1"/>
      <c r="B24" s="44" t="s">
        <v>99</v>
      </c>
      <c r="C24" s="45"/>
      <c r="D24" s="20"/>
      <c r="E24" s="1"/>
    </row>
    <row r="25" spans="1:5" ht="15" customHeight="1" x14ac:dyDescent="0.45">
      <c r="A25" s="1"/>
      <c r="B25" s="31" t="s">
        <v>95</v>
      </c>
      <c r="C25" s="9">
        <f>'Fane 9.2. Engangstillæg'!C14</f>
        <v>0</v>
      </c>
      <c r="D25" s="8" t="s">
        <v>3</v>
      </c>
      <c r="E25" s="1"/>
    </row>
    <row r="26" spans="1:5" ht="15" customHeight="1" x14ac:dyDescent="0.4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45">
      <c r="A27" s="1"/>
      <c r="B27" s="53" t="s">
        <v>100</v>
      </c>
      <c r="C27" s="10">
        <f>SUM(C25:C26)</f>
        <v>0</v>
      </c>
      <c r="D27" s="11" t="s">
        <v>3</v>
      </c>
      <c r="E27" s="1"/>
    </row>
    <row r="28" spans="1:5" ht="15" customHeight="1" x14ac:dyDescent="0.45">
      <c r="A28" s="1"/>
      <c r="B28" s="38" t="s">
        <v>204</v>
      </c>
      <c r="C28" s="45"/>
      <c r="D28" s="20"/>
      <c r="E28" s="1"/>
    </row>
    <row r="29" spans="1:5" x14ac:dyDescent="0.45">
      <c r="A29" s="1"/>
      <c r="B29" s="39" t="s">
        <v>205</v>
      </c>
      <c r="C29" s="10">
        <f>'Fane 7. Kontrol af ØR2019'!E39</f>
        <v>-194844.18528229464</v>
      </c>
      <c r="D29" s="11" t="s">
        <v>3</v>
      </c>
      <c r="E29" s="1"/>
    </row>
    <row r="30" spans="1:5" x14ac:dyDescent="0.45">
      <c r="A30" s="1"/>
      <c r="B30" s="38" t="s">
        <v>244</v>
      </c>
      <c r="C30" s="45"/>
      <c r="D30" s="20"/>
      <c r="E30" s="1"/>
    </row>
    <row r="31" spans="1:5" x14ac:dyDescent="0.45">
      <c r="A31" s="1"/>
      <c r="B31" s="39" t="s">
        <v>245</v>
      </c>
      <c r="C31" s="10">
        <v>176.61412354376341</v>
      </c>
      <c r="D31" s="11" t="s">
        <v>3</v>
      </c>
      <c r="E31" s="1"/>
    </row>
    <row r="32" spans="1:5" x14ac:dyDescent="0.45">
      <c r="A32" s="1"/>
      <c r="B32" s="44" t="s">
        <v>31</v>
      </c>
      <c r="C32" s="32">
        <f>SUM(C21,C23,C27,C29,C31)</f>
        <v>17593022.24858753</v>
      </c>
      <c r="D32" s="20" t="s">
        <v>3</v>
      </c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V1qE+RaRzC80dBkwHztJJbozYIAY+2Jrchpd29hqKal6AQ/okRAw2DTiJc7GbqHelbcflR3q/EcO1LLe229KHw==" saltValue="3qYHfU7kxH+xAm85apfQQ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4" t="s">
        <v>13</v>
      </c>
      <c r="C8" s="45"/>
      <c r="D8" s="20"/>
      <c r="E8" s="1"/>
    </row>
    <row r="9" spans="1:5" ht="15" customHeight="1" x14ac:dyDescent="0.45">
      <c r="A9" s="1"/>
      <c r="B9" s="48" t="s">
        <v>26</v>
      </c>
      <c r="C9" s="7">
        <f>'Fane 2.1. Økonomisk ramme 2021'!C21</f>
        <v>12305870.963242637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3" t="s">
        <v>18</v>
      </c>
      <c r="C12" s="9">
        <f>SUM(C9:C11)*'Fane 12. Nøgletal'!C13</f>
        <v>150131.62575156018</v>
      </c>
      <c r="D12" s="8" t="s">
        <v>3</v>
      </c>
      <c r="E12" s="1"/>
    </row>
    <row r="13" spans="1:5" ht="15" customHeight="1" x14ac:dyDescent="0.45">
      <c r="A13" s="1"/>
      <c r="B13" s="43" t="s">
        <v>9</v>
      </c>
      <c r="C13" s="9">
        <f>-SUM(C9:C12)*'Fane 5. Individuelt eff. krav'!G10</f>
        <v>-166581.65169863438</v>
      </c>
      <c r="D13" s="8" t="s">
        <v>3</v>
      </c>
      <c r="E13" s="1"/>
    </row>
    <row r="14" spans="1:5" ht="15" customHeight="1" x14ac:dyDescent="0.45">
      <c r="A14" s="1"/>
      <c r="B14" s="43" t="s">
        <v>27</v>
      </c>
      <c r="C14" s="9">
        <f>-'Fane 4.1. Gen. krav - drift'!G37</f>
        <v>-115982.24975961505</v>
      </c>
      <c r="D14" s="8" t="s">
        <v>3</v>
      </c>
      <c r="E14" s="1"/>
    </row>
    <row r="15" spans="1:5" ht="15" customHeight="1" x14ac:dyDescent="0.45">
      <c r="A15" s="1"/>
      <c r="B15" s="43" t="s">
        <v>28</v>
      </c>
      <c r="C15" s="9">
        <f>-'Fane 4.2. Gen. krav - anlæg'!G37</f>
        <v>-198721.36081325877</v>
      </c>
      <c r="D15" s="8" t="s">
        <v>3</v>
      </c>
      <c r="E15" s="1"/>
    </row>
    <row r="16" spans="1:5" ht="15" customHeight="1" x14ac:dyDescent="0.45">
      <c r="A16" s="1"/>
      <c r="B16" s="49" t="s">
        <v>20</v>
      </c>
      <c r="C16" s="10">
        <f>SUM(C9:C15)</f>
        <v>11974717.326722691</v>
      </c>
      <c r="D16" s="11" t="s">
        <v>3</v>
      </c>
      <c r="E16" s="1"/>
    </row>
    <row r="17" spans="1:5" x14ac:dyDescent="0.45">
      <c r="A17" s="1"/>
      <c r="B17" s="44" t="s">
        <v>12</v>
      </c>
      <c r="C17" s="45"/>
      <c r="D17" s="20"/>
      <c r="E17" s="1"/>
    </row>
    <row r="18" spans="1:5" ht="15" customHeight="1" x14ac:dyDescent="0.45">
      <c r="A18" s="1"/>
      <c r="B18" s="46" t="s">
        <v>12</v>
      </c>
      <c r="C18" s="10">
        <f>'Fane 6. Ikke-påvirkelige omk.'!C16*(1+'Fane 12. Nøgletal'!C13)</f>
        <v>5548697.046552985</v>
      </c>
      <c r="D18" s="11" t="s">
        <v>3</v>
      </c>
      <c r="E18" s="1"/>
    </row>
    <row r="19" spans="1:5" ht="15" customHeight="1" x14ac:dyDescent="0.45">
      <c r="A19" s="1"/>
      <c r="B19" s="44" t="s">
        <v>99</v>
      </c>
      <c r="C19" s="45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3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5"/>
      <c r="D23" s="20"/>
      <c r="E23" s="1"/>
    </row>
    <row r="24" spans="1:5" ht="15" customHeight="1" x14ac:dyDescent="0.45">
      <c r="A24" s="1"/>
      <c r="B24" s="54" t="s">
        <v>205</v>
      </c>
      <c r="C24" s="10">
        <f>'Fane 7. Kontrol af ØR2019'!E39</f>
        <v>-194844.18528229464</v>
      </c>
      <c r="D24" s="11" t="s">
        <v>3</v>
      </c>
      <c r="E24" s="1"/>
    </row>
    <row r="25" spans="1:5" x14ac:dyDescent="0.45">
      <c r="A25" s="1"/>
      <c r="B25" s="44" t="s">
        <v>32</v>
      </c>
      <c r="C25" s="12">
        <f>SUM(C16,C18,C22,C24)</f>
        <v>17328570.187993381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4f/uHPjbsTaZQdNhIWl7MZO1X97306aZqwGCqSEz1lZEloQvlSZjI3sMINf7LPuS2TTYZAmdZAT0L9/jcNUB7A==" saltValue="oUCDWsES1a3EJihE+vQid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4" t="s">
        <v>13</v>
      </c>
      <c r="C7" s="45"/>
      <c r="D7" s="20"/>
      <c r="E7" s="1"/>
    </row>
    <row r="8" spans="1:5" ht="15" customHeight="1" x14ac:dyDescent="0.45">
      <c r="A8" s="1"/>
      <c r="B8" s="48" t="s">
        <v>165</v>
      </c>
      <c r="C8" s="7">
        <f>'Fane 2.2. Økonomisk ramme 2022'!C16</f>
        <v>11974717.326722691</v>
      </c>
      <c r="D8" s="8" t="s">
        <v>3</v>
      </c>
      <c r="E8" s="1"/>
    </row>
    <row r="9" spans="1:5" ht="15" customHeight="1" x14ac:dyDescent="0.45">
      <c r="A9" s="1"/>
      <c r="B9" s="48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8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3" t="s">
        <v>18</v>
      </c>
      <c r="C11" s="9">
        <f>SUM(C8:C10)*'Fane 12. Nøgletal'!C13</f>
        <v>146091.55138601683</v>
      </c>
      <c r="D11" s="8" t="s">
        <v>3</v>
      </c>
      <c r="E11" s="1"/>
    </row>
    <row r="12" spans="1:5" ht="15" customHeight="1" x14ac:dyDescent="0.45">
      <c r="A12" s="1"/>
      <c r="B12" s="43" t="s">
        <v>9</v>
      </c>
      <c r="C12" s="9">
        <f>-SUM(C8:C11)*'Fane 5. Individuelt eff. krav'!G10</f>
        <v>-162098.90359390649</v>
      </c>
      <c r="D12" s="8" t="s">
        <v>3</v>
      </c>
      <c r="E12" s="1"/>
    </row>
    <row r="13" spans="1:5" ht="15" customHeight="1" x14ac:dyDescent="0.45">
      <c r="A13" s="1"/>
      <c r="B13" s="43" t="s">
        <v>27</v>
      </c>
      <c r="C13" s="9">
        <f>-'Fane 4.1. Gen. krav - drift'!G43</f>
        <v>-115049.2885425487</v>
      </c>
      <c r="D13" s="8" t="s">
        <v>3</v>
      </c>
      <c r="E13" s="1"/>
    </row>
    <row r="14" spans="1:5" ht="15" customHeight="1" x14ac:dyDescent="0.45">
      <c r="A14" s="1"/>
      <c r="B14" s="43" t="s">
        <v>28</v>
      </c>
      <c r="C14" s="9">
        <f>-'Fane 4.2. Gen. krav - anlæg'!G43</f>
        <v>-195614.25297626306</v>
      </c>
      <c r="D14" s="8" t="s">
        <v>3</v>
      </c>
      <c r="E14" s="1"/>
    </row>
    <row r="15" spans="1:5" x14ac:dyDescent="0.45">
      <c r="A15" s="1"/>
      <c r="B15" s="49" t="s">
        <v>20</v>
      </c>
      <c r="C15" s="10">
        <f>SUM(C8:C14)</f>
        <v>11648046.43299599</v>
      </c>
      <c r="D15" s="11" t="s">
        <v>3</v>
      </c>
      <c r="E15" s="1"/>
    </row>
    <row r="16" spans="1:5" x14ac:dyDescent="0.45">
      <c r="A16" s="1"/>
      <c r="B16" s="44" t="s">
        <v>12</v>
      </c>
      <c r="C16" s="45"/>
      <c r="D16" s="20"/>
      <c r="E16" s="1"/>
    </row>
    <row r="17" spans="1:5" ht="15" customHeight="1" x14ac:dyDescent="0.45">
      <c r="A17" s="1"/>
      <c r="B17" s="46" t="s">
        <v>12</v>
      </c>
      <c r="C17" s="10">
        <f>'Fane 6. Ikke-påvirkelige omk.'!C16*(1+'Fane 12. Nøgletal'!C13)^2</f>
        <v>5616391.150520931</v>
      </c>
      <c r="D17" s="11" t="s">
        <v>3</v>
      </c>
      <c r="E17" s="1"/>
    </row>
    <row r="18" spans="1:5" ht="15" customHeight="1" x14ac:dyDescent="0.45">
      <c r="A18" s="1"/>
      <c r="B18" s="44" t="s">
        <v>99</v>
      </c>
      <c r="C18" s="45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4" t="s">
        <v>109</v>
      </c>
      <c r="C22" s="12">
        <f>SUM(C15,C17,C21)</f>
        <v>17264437.583516922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CO8DxSXKsdnUa6AiImuhgWNsOaGNyzSbhY7CzmVkGJF9YMyjuluh0MpZ8jrahb6y7IKQqmwBavyVpB4rHm18oA==" saltValue="wkGYw8lcfjLIuo17GuYIA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4" t="s">
        <v>13</v>
      </c>
      <c r="C7" s="45"/>
      <c r="D7" s="20"/>
      <c r="E7" s="1"/>
    </row>
    <row r="8" spans="1:5" ht="15" customHeight="1" x14ac:dyDescent="0.45">
      <c r="A8" s="1"/>
      <c r="B8" s="48" t="s">
        <v>166</v>
      </c>
      <c r="C8" s="7">
        <f>'Fane 2.3. Økonomisk ramme 2023'!C15</f>
        <v>11648046.43299599</v>
      </c>
      <c r="D8" s="8" t="s">
        <v>3</v>
      </c>
      <c r="E8" s="1"/>
    </row>
    <row r="9" spans="1:5" ht="15" customHeight="1" x14ac:dyDescent="0.45">
      <c r="A9" s="1"/>
      <c r="B9" s="48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8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3" t="s">
        <v>18</v>
      </c>
      <c r="C11" s="9">
        <f>SUM(C8:C10)*'Fane 12. Nøgletal'!C13</f>
        <v>142106.16648255108</v>
      </c>
      <c r="D11" s="8" t="s">
        <v>3</v>
      </c>
      <c r="E11" s="1"/>
    </row>
    <row r="12" spans="1:5" ht="15" customHeight="1" x14ac:dyDescent="0.45">
      <c r="A12" s="1"/>
      <c r="B12" s="43" t="s">
        <v>9</v>
      </c>
      <c r="C12" s="9">
        <f>-SUM(C8:C11)*'Fane 5. Individuelt eff. krav'!G10</f>
        <v>-157676.83731339642</v>
      </c>
      <c r="D12" s="8" t="s">
        <v>3</v>
      </c>
      <c r="E12" s="1"/>
    </row>
    <row r="13" spans="1:5" ht="15" customHeight="1" x14ac:dyDescent="0.45">
      <c r="A13" s="1"/>
      <c r="B13" s="43" t="s">
        <v>27</v>
      </c>
      <c r="C13" s="9">
        <f>-'Fane 4.1. Gen. krav - drift'!G49</f>
        <v>-114123.83206551243</v>
      </c>
      <c r="D13" s="8" t="s">
        <v>3</v>
      </c>
      <c r="E13" s="1"/>
    </row>
    <row r="14" spans="1:5" ht="15" customHeight="1" x14ac:dyDescent="0.45">
      <c r="A14" s="1"/>
      <c r="B14" s="43" t="s">
        <v>28</v>
      </c>
      <c r="C14" s="9">
        <f>-'Fane 4.2. Gen. krav - anlæg'!G49</f>
        <v>-192555.72632385269</v>
      </c>
      <c r="D14" s="8" t="s">
        <v>3</v>
      </c>
      <c r="E14" s="1"/>
    </row>
    <row r="15" spans="1:5" x14ac:dyDescent="0.45">
      <c r="A15" s="1"/>
      <c r="B15" s="49" t="s">
        <v>20</v>
      </c>
      <c r="C15" s="10">
        <f>SUM(C8:C14)</f>
        <v>11325796.20377578</v>
      </c>
      <c r="D15" s="11" t="s">
        <v>3</v>
      </c>
      <c r="E15" s="1"/>
    </row>
    <row r="16" spans="1:5" x14ac:dyDescent="0.45">
      <c r="A16" s="1"/>
      <c r="B16" s="44" t="s">
        <v>12</v>
      </c>
      <c r="C16" s="45"/>
      <c r="D16" s="20"/>
      <c r="E16" s="1"/>
    </row>
    <row r="17" spans="1:5" ht="15" customHeight="1" x14ac:dyDescent="0.45">
      <c r="A17" s="1"/>
      <c r="B17" s="46" t="s">
        <v>12</v>
      </c>
      <c r="C17" s="10">
        <f>'Fane 6. Ikke-påvirkelige omk.'!C16*(1+'Fane 12. Nøgletal'!C13)^3</f>
        <v>5684911.1225572871</v>
      </c>
      <c r="D17" s="11" t="s">
        <v>3</v>
      </c>
      <c r="E17" s="1"/>
    </row>
    <row r="18" spans="1:5" ht="15" customHeight="1" x14ac:dyDescent="0.45">
      <c r="A18" s="1"/>
      <c r="B18" s="44" t="s">
        <v>99</v>
      </c>
      <c r="C18" s="45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4" t="s">
        <v>242</v>
      </c>
      <c r="C22" s="12">
        <f>SUM(C15,C17,C21)</f>
        <v>17010707.326333068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gxjM3imGxiOqZs0gygnl1/YKKyps7YhnoTnUKXFsiABKe7QcDElZEL302panWt6nAajQZoDwQxN6TWXlUJicBg==" saltValue="iuiCBCJLrmUHLrsEFL3wy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180</v>
      </c>
      <c r="C3" s="92"/>
      <c r="D3" s="92"/>
      <c r="E3" s="92"/>
      <c r="F3" s="92"/>
      <c r="G3" s="1"/>
    </row>
    <row r="4" spans="1:7" ht="29.2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4" t="s">
        <v>167</v>
      </c>
      <c r="C8" s="45"/>
      <c r="D8" s="45"/>
      <c r="E8" s="45"/>
      <c r="F8" s="20"/>
      <c r="G8" s="1"/>
    </row>
    <row r="9" spans="1:7" x14ac:dyDescent="0.45">
      <c r="A9" s="1"/>
      <c r="B9" s="93" t="s">
        <v>23</v>
      </c>
      <c r="C9" s="94"/>
      <c r="D9" s="95"/>
      <c r="E9" s="7">
        <v>10879241.658201521</v>
      </c>
      <c r="F9" s="8" t="s">
        <v>3</v>
      </c>
      <c r="G9" s="1"/>
    </row>
    <row r="10" spans="1:7" ht="15" customHeight="1" x14ac:dyDescent="0.45">
      <c r="A10" s="1"/>
      <c r="B10" s="78" t="s">
        <v>45</v>
      </c>
      <c r="C10" s="79"/>
      <c r="D10" s="80"/>
      <c r="E10" s="7">
        <v>0</v>
      </c>
      <c r="F10" s="8" t="s">
        <v>3</v>
      </c>
      <c r="G10" s="1"/>
    </row>
    <row r="11" spans="1:7" ht="15" customHeight="1" x14ac:dyDescent="0.45">
      <c r="A11" s="1"/>
      <c r="B11" s="78" t="s">
        <v>46</v>
      </c>
      <c r="C11" s="79"/>
      <c r="D11" s="80"/>
      <c r="E11" s="9">
        <v>342361.58979000006</v>
      </c>
      <c r="F11" s="8" t="s">
        <v>3</v>
      </c>
      <c r="G11" s="1"/>
    </row>
    <row r="12" spans="1:7" x14ac:dyDescent="0.45">
      <c r="A12" s="1"/>
      <c r="B12" s="78" t="s">
        <v>30</v>
      </c>
      <c r="C12" s="79"/>
      <c r="D12" s="80"/>
      <c r="E12" s="9">
        <v>0</v>
      </c>
      <c r="F12" s="8" t="s">
        <v>3</v>
      </c>
      <c r="G12" s="1"/>
    </row>
    <row r="13" spans="1:7" x14ac:dyDescent="0.45">
      <c r="A13" s="1"/>
      <c r="B13" s="78" t="s">
        <v>29</v>
      </c>
      <c r="C13" s="79"/>
      <c r="D13" s="80"/>
      <c r="E13" s="9">
        <v>0</v>
      </c>
      <c r="F13" s="8" t="s">
        <v>3</v>
      </c>
      <c r="G13" s="1"/>
    </row>
    <row r="14" spans="1:7" x14ac:dyDescent="0.45">
      <c r="A14" s="1"/>
      <c r="B14" s="78" t="s">
        <v>159</v>
      </c>
      <c r="C14" s="79"/>
      <c r="D14" s="80"/>
      <c r="E14" s="9">
        <v>0</v>
      </c>
      <c r="F14" s="8" t="s">
        <v>3</v>
      </c>
      <c r="G14" s="1"/>
    </row>
    <row r="15" spans="1:7" x14ac:dyDescent="0.45">
      <c r="A15" s="1"/>
      <c r="B15" s="78" t="s">
        <v>160</v>
      </c>
      <c r="C15" s="79"/>
      <c r="D15" s="80"/>
      <c r="E15" s="9">
        <v>0</v>
      </c>
      <c r="F15" s="8" t="s">
        <v>3</v>
      </c>
      <c r="G15" s="1"/>
    </row>
    <row r="16" spans="1:7" x14ac:dyDescent="0.45">
      <c r="A16" s="1"/>
      <c r="B16" s="78" t="s">
        <v>18</v>
      </c>
      <c r="C16" s="79"/>
      <c r="D16" s="80"/>
      <c r="E16" s="9">
        <f>E9*'Fane 12. Nøgletal'!C11+SUM(E10:E15)*'Fane 12. Nøgletal'!C12</f>
        <v>190603.7073424687</v>
      </c>
      <c r="F16" s="8" t="s">
        <v>3</v>
      </c>
      <c r="G16" s="1"/>
    </row>
    <row r="17" spans="1:7" x14ac:dyDescent="0.45">
      <c r="A17" s="1"/>
      <c r="B17" s="78" t="s">
        <v>9</v>
      </c>
      <c r="C17" s="79"/>
      <c r="D17" s="80"/>
      <c r="E17" s="9">
        <f>-SUM(E9:E16)*'Fane 5. Individuelt eff. krav'!G9</f>
        <v>-149388.12212566318</v>
      </c>
      <c r="F17" s="8" t="s">
        <v>3</v>
      </c>
      <c r="G17" s="1"/>
    </row>
    <row r="18" spans="1:7" x14ac:dyDescent="0.45">
      <c r="A18" s="1"/>
      <c r="B18" s="78" t="s">
        <v>27</v>
      </c>
      <c r="C18" s="79"/>
      <c r="D18" s="80"/>
      <c r="E18" s="9">
        <f>-'Fane 4.1. Gen. krav - drift'!G25</f>
        <v>-100406.78270944694</v>
      </c>
      <c r="F18" s="8" t="s">
        <v>3</v>
      </c>
      <c r="G18" s="1"/>
    </row>
    <row r="19" spans="1:7" x14ac:dyDescent="0.45">
      <c r="A19" s="1"/>
      <c r="B19" s="78" t="s">
        <v>28</v>
      </c>
      <c r="C19" s="79"/>
      <c r="D19" s="80"/>
      <c r="E19" s="9">
        <f>-'Fane 4.2. Gen. krav - anlæg'!G25</f>
        <v>-64507.446419948668</v>
      </c>
      <c r="F19" s="8" t="s">
        <v>3</v>
      </c>
      <c r="G19" s="1"/>
    </row>
    <row r="20" spans="1:7" x14ac:dyDescent="0.45">
      <c r="A20" s="1"/>
      <c r="B20" s="81" t="s">
        <v>20</v>
      </c>
      <c r="C20" s="82"/>
      <c r="D20" s="83"/>
      <c r="E20" s="10">
        <f>SUM(E9:E19)</f>
        <v>11097904.60407893</v>
      </c>
      <c r="F20" s="11" t="s">
        <v>3</v>
      </c>
      <c r="G20" s="1"/>
    </row>
    <row r="21" spans="1:7" x14ac:dyDescent="0.45">
      <c r="A21" s="1"/>
      <c r="B21" s="90" t="s">
        <v>12</v>
      </c>
      <c r="C21" s="91"/>
      <c r="D21" s="91"/>
      <c r="E21" s="45"/>
      <c r="F21" s="20"/>
      <c r="G21" s="1"/>
    </row>
    <row r="22" spans="1:7" x14ac:dyDescent="0.45">
      <c r="A22" s="1"/>
      <c r="B22" s="84" t="s">
        <v>12</v>
      </c>
      <c r="C22" s="85"/>
      <c r="D22" s="86"/>
      <c r="E22" s="10">
        <v>5428641.8357952964</v>
      </c>
      <c r="F22" s="11" t="s">
        <v>3</v>
      </c>
      <c r="G22" s="1"/>
    </row>
    <row r="23" spans="1:7" ht="15" customHeight="1" x14ac:dyDescent="0.45">
      <c r="A23" s="1"/>
      <c r="B23" s="90" t="s">
        <v>99</v>
      </c>
      <c r="C23" s="91"/>
      <c r="D23" s="91"/>
      <c r="E23" s="45"/>
      <c r="F23" s="45"/>
      <c r="G23" s="1"/>
    </row>
    <row r="24" spans="1:7" ht="14.25" customHeight="1" x14ac:dyDescent="0.45">
      <c r="A24" s="1"/>
      <c r="B24" s="75" t="s">
        <v>95</v>
      </c>
      <c r="C24" s="76"/>
      <c r="D24" s="77"/>
      <c r="E24" s="9">
        <v>0</v>
      </c>
      <c r="F24" s="8" t="s">
        <v>3</v>
      </c>
      <c r="G24" s="1"/>
    </row>
    <row r="25" spans="1:7" ht="14.25" customHeight="1" x14ac:dyDescent="0.45">
      <c r="A25" s="1"/>
      <c r="B25" s="75" t="s">
        <v>96</v>
      </c>
      <c r="C25" s="76"/>
      <c r="D25" s="77"/>
      <c r="E25" s="9">
        <v>0</v>
      </c>
      <c r="F25" s="8" t="s">
        <v>3</v>
      </c>
      <c r="G25" s="1"/>
    </row>
    <row r="26" spans="1:7" x14ac:dyDescent="0.45">
      <c r="A26" s="1"/>
      <c r="B26" s="87" t="s">
        <v>100</v>
      </c>
      <c r="C26" s="88"/>
      <c r="D26" s="88"/>
      <c r="E26" s="10">
        <v>0</v>
      </c>
      <c r="F26" s="11" t="s">
        <v>3</v>
      </c>
      <c r="G26" s="1"/>
    </row>
    <row r="27" spans="1:7" ht="14.25" customHeight="1" x14ac:dyDescent="0.45">
      <c r="A27" s="1"/>
      <c r="B27" s="44" t="s">
        <v>228</v>
      </c>
      <c r="C27" s="45"/>
      <c r="D27" s="45"/>
      <c r="E27" s="45"/>
      <c r="F27" s="45"/>
      <c r="G27" s="1"/>
    </row>
    <row r="28" spans="1:7" ht="13.15" customHeight="1" x14ac:dyDescent="0.45">
      <c r="A28" s="1"/>
      <c r="B28" s="87" t="s">
        <v>229</v>
      </c>
      <c r="C28" s="88"/>
      <c r="D28" s="89"/>
      <c r="E28" s="10">
        <v>-1697628</v>
      </c>
      <c r="F28" s="11" t="s">
        <v>3</v>
      </c>
      <c r="G28" s="1"/>
    </row>
    <row r="29" spans="1:7" x14ac:dyDescent="0.45">
      <c r="A29" s="1"/>
      <c r="B29" s="44" t="s">
        <v>230</v>
      </c>
      <c r="C29" s="45"/>
      <c r="D29" s="45"/>
      <c r="E29" s="45"/>
      <c r="F29" s="20"/>
      <c r="G29" s="1"/>
    </row>
    <row r="30" spans="1:7" ht="15" customHeight="1" x14ac:dyDescent="0.45">
      <c r="A30" s="1"/>
      <c r="B30" s="87" t="s">
        <v>231</v>
      </c>
      <c r="C30" s="88"/>
      <c r="D30" s="89"/>
      <c r="E30" s="10">
        <v>479593.6111788174</v>
      </c>
      <c r="F30" s="11" t="s">
        <v>3</v>
      </c>
      <c r="G30" s="1"/>
    </row>
    <row r="31" spans="1:7" x14ac:dyDescent="0.45">
      <c r="A31" s="1"/>
      <c r="B31" s="44" t="s">
        <v>232</v>
      </c>
      <c r="C31" s="45"/>
      <c r="D31" s="45"/>
      <c r="E31" s="45"/>
      <c r="F31" s="20"/>
      <c r="G31" s="1"/>
    </row>
    <row r="32" spans="1:7" x14ac:dyDescent="0.45">
      <c r="A32" s="1"/>
      <c r="B32" s="84" t="s">
        <v>233</v>
      </c>
      <c r="C32" s="85"/>
      <c r="D32" s="86"/>
      <c r="E32" s="10">
        <v>0</v>
      </c>
      <c r="F32" s="11" t="s">
        <v>3</v>
      </c>
      <c r="G32" s="1"/>
    </row>
    <row r="33" spans="1:7" x14ac:dyDescent="0.45">
      <c r="A33" s="1"/>
      <c r="B33" s="44" t="s">
        <v>24</v>
      </c>
      <c r="C33" s="45"/>
      <c r="D33" s="45"/>
      <c r="E33" s="12">
        <f>SUM(E30,E26,E28,E22,E20,E32)</f>
        <v>15308512.051053043</v>
      </c>
      <c r="F33" s="13" t="s">
        <v>3</v>
      </c>
      <c r="G33" s="1"/>
    </row>
    <row r="34" spans="1:7" ht="28.15" customHeight="1" x14ac:dyDescent="0.45">
      <c r="A34" s="1"/>
      <c r="B34" s="75" t="s">
        <v>179</v>
      </c>
      <c r="C34" s="76"/>
      <c r="D34" s="76"/>
      <c r="E34" s="76"/>
      <c r="F34" s="77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YehMqAq4wEjkGUcntM+a9UcHaUwS1XQ3+cuiyguVsN6aqFeiplzj1yf0JO+fkGidqHEeQuhzwkcqCkSY5gkZpw==" saltValue="7fE7mxE3fdz5WpwjjODbXQ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5404911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108098.22</v>
      </c>
      <c r="H6" s="14" t="s">
        <v>3</v>
      </c>
      <c r="I6" s="1"/>
    </row>
    <row r="7" spans="1:9" x14ac:dyDescent="0.45">
      <c r="A7" s="1"/>
      <c r="B7" s="44"/>
      <c r="C7" s="45"/>
      <c r="D7" s="45"/>
      <c r="E7" s="45"/>
      <c r="F7" s="45"/>
      <c r="G7" s="45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5364082.3023060001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107281.64604612</v>
      </c>
      <c r="H12" s="14" t="s">
        <v>3</v>
      </c>
      <c r="I12" s="1"/>
    </row>
    <row r="13" spans="1:9" x14ac:dyDescent="0.45">
      <c r="A13" s="1"/>
      <c r="B13" s="44"/>
      <c r="C13" s="45"/>
      <c r="D13" s="45"/>
      <c r="E13" s="45"/>
      <c r="F13" s="45"/>
      <c r="G13" s="45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5345640.5873506721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-307981.98159172566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100753.17211517892</v>
      </c>
      <c r="H19" s="14" t="s">
        <v>3</v>
      </c>
      <c r="I19" s="1"/>
    </row>
    <row r="20" spans="1:9" x14ac:dyDescent="0.45">
      <c r="A20" s="1"/>
      <c r="B20" s="44"/>
      <c r="C20" s="45"/>
      <c r="D20" s="45"/>
      <c r="E20" s="45"/>
      <c r="F20" s="45"/>
      <c r="G20" s="45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5020339.135472347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100406.78270944694</v>
      </c>
      <c r="H25" s="14" t="s">
        <v>3</v>
      </c>
      <c r="I25" s="1"/>
    </row>
    <row r="26" spans="1:9" x14ac:dyDescent="0.45">
      <c r="A26" s="1"/>
      <c r="B26" s="44"/>
      <c r="C26" s="45"/>
      <c r="D26" s="45"/>
      <c r="E26" s="45"/>
      <c r="F26" s="45"/>
      <c r="G26" s="45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4979955.5274666073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866183.30125235999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116922.77657437936</v>
      </c>
      <c r="H31" s="14" t="s">
        <v>3</v>
      </c>
      <c r="I31" s="1"/>
    </row>
    <row r="32" spans="1:9" x14ac:dyDescent="0.45">
      <c r="A32" s="1"/>
      <c r="B32" s="44"/>
      <c r="C32" s="45"/>
      <c r="D32" s="45"/>
      <c r="E32" s="45"/>
      <c r="F32" s="45"/>
      <c r="G32" s="45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5799112.4879807523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115982.24975961505</v>
      </c>
      <c r="H37" s="14" t="s">
        <v>3</v>
      </c>
      <c r="I37" s="1"/>
    </row>
    <row r="38" spans="1:9" x14ac:dyDescent="0.45">
      <c r="A38" s="1"/>
      <c r="B38" s="44"/>
      <c r="C38" s="45"/>
      <c r="D38" s="45"/>
      <c r="E38" s="45"/>
      <c r="F38" s="45"/>
      <c r="G38" s="45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5752464.4271274349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115049.2885425487</v>
      </c>
      <c r="H43" s="14" t="s">
        <v>3</v>
      </c>
      <c r="I43" s="1"/>
    </row>
    <row r="44" spans="1:9" x14ac:dyDescent="0.45">
      <c r="A44" s="1"/>
      <c r="B44" s="44"/>
      <c r="C44" s="45"/>
      <c r="D44" s="45"/>
      <c r="E44" s="45"/>
      <c r="F44" s="45"/>
      <c r="G44" s="45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5706191.6032756213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114123.83206551243</v>
      </c>
      <c r="H49" s="14" t="s">
        <v>3</v>
      </c>
      <c r="I49" s="1"/>
    </row>
    <row r="50" spans="1:9" x14ac:dyDescent="0.45">
      <c r="A50" s="1"/>
      <c r="B50" s="44"/>
      <c r="C50" s="45"/>
      <c r="D50" s="45"/>
      <c r="E50" s="45"/>
      <c r="F50" s="45"/>
      <c r="G50" s="45"/>
      <c r="H50" s="20"/>
      <c r="I50" s="1"/>
    </row>
  </sheetData>
  <sheetProtection algorithmName="SHA-512" hashValue="2XfC7/t2RUndLyw3oYezqMHUi89mcln4knJekwQFrJz7WFHZwmBOdqNz8zhl8oMQte6nPZ9UAen1pZSNUBsUfA==" saltValue="DytkRTiRPvAROtN6PMqPwQ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5885449.4345811922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53557.589854688849</v>
      </c>
      <c r="H6" s="14" t="s">
        <v>3</v>
      </c>
      <c r="I6" s="1"/>
    </row>
    <row r="7" spans="1:9" x14ac:dyDescent="0.45">
      <c r="A7" s="1"/>
      <c r="B7" s="44"/>
      <c r="C7" s="45"/>
      <c r="D7" s="45"/>
      <c r="E7" s="45"/>
      <c r="F7" s="45"/>
      <c r="G7" s="45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5905956.871154529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53744.207527506216</v>
      </c>
      <c r="H12" s="14" t="s">
        <v>3</v>
      </c>
      <c r="I12" s="1"/>
    </row>
    <row r="13" spans="1:9" x14ac:dyDescent="0.45">
      <c r="A13" s="1"/>
      <c r="B13" s="44"/>
      <c r="C13" s="45"/>
      <c r="D13" s="45"/>
      <c r="E13" s="45"/>
      <c r="F13" s="45"/>
      <c r="G13" s="45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5951115.0576423192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59462.366569985788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214331.82212786996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54156.710443159522</v>
      </c>
      <c r="H19" s="14" t="s">
        <v>3</v>
      </c>
      <c r="I19" s="1"/>
    </row>
    <row r="20" spans="1:9" x14ac:dyDescent="0.45">
      <c r="A20" s="1"/>
      <c r="B20" s="44"/>
      <c r="C20" s="45"/>
      <c r="D20" s="45"/>
      <c r="E20" s="45"/>
      <c r="F20" s="45"/>
      <c r="G20" s="45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6275038.2537536742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349106.11310886306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64507.446419948668</v>
      </c>
      <c r="H25" s="14" t="s">
        <v>3</v>
      </c>
      <c r="I25" s="1"/>
    </row>
    <row r="26" spans="1:9" x14ac:dyDescent="0.45">
      <c r="A26" s="1"/>
      <c r="B26" s="44"/>
      <c r="C26" s="45"/>
      <c r="D26" s="45"/>
      <c r="E26" s="45"/>
      <c r="F26" s="45"/>
      <c r="G26" s="45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6639664.4908719882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2021'!C12,'Fane 2.1. Økonomisk ramme 2021'!C14,'Fane 2.1. Økonomisk ramme 2021'!C16)*(1+'Fane 12. Nøgletal'!C13)</f>
        <v>701347.19971652771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201877.82149118421</v>
      </c>
      <c r="H31" s="14" t="s">
        <v>3</v>
      </c>
      <c r="I31" s="1"/>
    </row>
    <row r="32" spans="1:9" x14ac:dyDescent="0.45">
      <c r="A32" s="1"/>
      <c r="B32" s="44"/>
      <c r="C32" s="45"/>
      <c r="D32" s="45"/>
      <c r="E32" s="45"/>
      <c r="F32" s="45"/>
      <c r="G32" s="45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7226231.3023003191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198721.36081325877</v>
      </c>
      <c r="H37" s="14" t="s">
        <v>3</v>
      </c>
      <c r="I37" s="1"/>
    </row>
    <row r="38" spans="1:9" x14ac:dyDescent="0.45">
      <c r="A38" s="1"/>
      <c r="B38" s="44"/>
      <c r="C38" s="45"/>
      <c r="D38" s="45"/>
      <c r="E38" s="45"/>
      <c r="F38" s="45"/>
      <c r="G38" s="45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7113245.5627732016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195614.25297626306</v>
      </c>
      <c r="H43" s="14" t="s">
        <v>3</v>
      </c>
      <c r="I43" s="1"/>
    </row>
    <row r="44" spans="1:9" x14ac:dyDescent="0.45">
      <c r="A44" s="1"/>
      <c r="B44" s="44"/>
      <c r="C44" s="45"/>
      <c r="D44" s="45"/>
      <c r="E44" s="45"/>
      <c r="F44" s="45"/>
      <c r="G44" s="45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7002026.4117764616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192555.72632385269</v>
      </c>
      <c r="H49" s="14" t="s">
        <v>3</v>
      </c>
      <c r="I49" s="1"/>
    </row>
    <row r="50" spans="1:9" x14ac:dyDescent="0.45">
      <c r="A50" s="1"/>
      <c r="B50" s="44"/>
      <c r="C50" s="45"/>
      <c r="D50" s="45"/>
      <c r="E50" s="45"/>
      <c r="F50" s="45"/>
      <c r="G50" s="45"/>
      <c r="H50" s="20"/>
      <c r="I50" s="1"/>
    </row>
  </sheetData>
  <sheetProtection algorithmName="SHA-512" hashValue="HwXs0ymzvAGxbq66wN7dehNBENXyz82v7fVJDcw819FKacpXnZSBMp0Jji6k0pFg35cJ3ks5FWVE8M1rFVUWrw==" saltValue="PhBQ00/SPRiZrQt1u4iveQ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1.309020443726182E-2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1.337360445363279E-2</v>
      </c>
      <c r="H10" s="14"/>
      <c r="I10" s="1"/>
    </row>
    <row r="11" spans="1:9" x14ac:dyDescent="0.45">
      <c r="A11" s="1"/>
      <c r="B11" s="44"/>
      <c r="C11" s="45"/>
      <c r="D11" s="45"/>
      <c r="E11" s="45"/>
      <c r="F11" s="45"/>
      <c r="G11" s="45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lTTStBp9i5EZZ5wOpzsQq/ZkMUi/3LU1dcm+RNG6+HT7TbhI7t+h2gM/Sw8tghzysZUURRg4qghDHU4a0nBvfA==" saltValue="U9wQrebqRi85a5wEh4c5g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2020-10-20T08:12:24Z</dcterms:modified>
</cp:coreProperties>
</file>