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Rødovre AS (S04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2"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3"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<sst xmlns="http://schemas.openxmlformats.org/spreadsheetml/2006/main" count="606" uniqueCount="288">
  <si>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</si>
  <si>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</si>
  <si>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</si>
  <si>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</si>
  <si>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</si>
  <si>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</si>
  <si>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</si>
  <si>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</si>
  <si>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</si>
  <si>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</si>
  <si>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</si>
  <si>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</si>
  <si>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</si>
  <si>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</si>
  <si>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</si>
  <si>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</si>
  <si>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</si>
  <si>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</si>
  <si>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</si>
  <si>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</si>
  <si>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</si>
  <si>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</si>
  <si>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</si>
  <si>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</si>
  <si>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</si>
  <si>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</si>
  <si>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</si>
  <si>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</si>
  <si>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</si>
  <si>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</si>
  <si>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</si>
  <si>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</si>
  <si>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</si>
  <si>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</si>
  <si>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</si>
  <si>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</si>
  <si>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</si>
  <si>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</si>
  <si>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</si>
  <si>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</si>
  <si>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</si>
  <si>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</si>
  <si>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</si>
  <si>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</si>
  <si>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</si>
  <si>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</si>
  <si>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</si>
  <si>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</si>
  <si>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</si>
  <si>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</si>
  <si>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</si>
  <si>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</si>
  <si>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</si>
  <si>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</si>
  <si>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</si>
  <si>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</si>
  <si>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</si>
  <si>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</si>
  <si>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</si>
  <si>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</si>
  <si>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</si>
  <si>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</si>
  <si>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</si>
  <si>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</si>
  <si>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</si>
  <si>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</si>
  <si>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</si>
  <si>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</si>
  <si>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</si>
  <si>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</si>
  <si>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</si>
  <si>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</si>
  <si>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</si>
  <si>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</si>
  <si>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</si>
  <si>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</si>
  <si>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</si>
  <si>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</si>
  <si>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</si>
  <si>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</si>
  <si>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</si>
  <si>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</si>
  <si>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</si>
  <si>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</si>
  <si>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</si>
  <si>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</si>
  <si>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</si>
  <si>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</si>
  <si>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</si>
  <si>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</si>
  <si>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</si>
  <si>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</si>
  <si>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</si>
  <si>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</si>
  <si>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</si>
  <si>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</si>
  <si>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</si>
  <si>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</si>
  <si>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</si>
  <si>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</si>
  <si>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</si>
  <si>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</si>
  <si>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</si>
  <si>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</si>
  <si>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</si>
  <si>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</si>
  <si>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</si>
  <si>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</si>
  <si>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</si>
  <si>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</si>
  <si>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</si>
  <si>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</si>
  <si>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</si>
  <si>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</si>
  <si>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</si>
  <si>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</si>
  <si>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</si>
  <si>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</si>
  <si>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</si>
  <si>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</si>
  <si>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</si>
  <si>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</si>
  <si>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</si>
  <si>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</si>
  <si>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</si>
  <si>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</si>
  <si>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</si>
  <si>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</si>
  <si>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</si>
  <si>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</si>
  <si>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</si>
  <si>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</si>
  <si>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</si>
  <si>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</si>
  <si>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</si>
  <si>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</si>
  <si>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</si>
  <si>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</si>
  <si>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</si>
  <si>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</si>
  <si>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</si>
  <si>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</si>
  <si>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</si>
  <si>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</si>
  <si>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</si>
  <si>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</si>
  <si>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</si>
  <si>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</si>
  <si>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</si>
  <si>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</si>
  <si>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</si>
  <si>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</si>
  <si>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</si>
  <si>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</si>
  <si>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</si>
  <si>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</si>
  <si>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</si>
  <si>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</si>
  <si>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</si>
  <si>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</si>
  <si>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</si>
  <si>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</si>
  <si>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</si>
  <si>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</si>
  <si>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</si>
  <si>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</si>
  <si>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</si>
  <si>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</si>
  <si>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</si>
  <si>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</si>
  <si>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</si>
  <si>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</si>
  <si>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</si>
  <si>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</si>
  <si>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</si>
  <si>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</si>
  <si>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</si>
  <si>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</si>
  <si>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</si>
  <si>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</si>
  <si>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</si>
  <si>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</si>
  <si>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</si>
  <si>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</si>
  <si>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</si>
  <si>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</si>
  <si>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</si>
  <si>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</si>
  <si>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</si>
  <si>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</si>
  <si>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</si>
  <si>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</si>
  <si>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</si>
  <si>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</si>
  <si>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</si>
  <si>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</si>
  <si>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</si>
  <si>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</si>
  <si>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</si>
  <si>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</si>
  <si>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</si>
  <si>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</si>
  <si>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</si>
  <si>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</si>
  <si>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</si>
  <si>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</si>
  <si>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</si>
  <si>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</si>
  <si>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</si>
  <si>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</si>
  <si>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</si>
  <si>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</si>
  <si>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</si>
  <si>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</si>
  <si>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</si>
  <si>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</si>
  <si>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</si>
  <si>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</si>
  <si>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</si>
  <si>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</si>
  <si>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</si>
  <si>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</si>
  <si>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</si>
  <si>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</si>
  <si>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</si>
  <si>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</si>
  <si>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</si>
  <si>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</si>
  <si>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</si>
  <si>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</si>
  <si>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</si>
  <si>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</si>
  <si>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</si>
  <si>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</si>
  <si>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</si>
  <si>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</si>
  <si>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</si>
  <si>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</si>
  <si>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</si>
  <si>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</si>
  <si>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</si>
  <si>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</si>
  <si>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</si>
  <si>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</si>
  <si>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</si>
  <si>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</si>
  <si>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</si>
  <si>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</si>
  <si>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</si>
  <si>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</si>
  <si>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</si>
  <si>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</si>
  <si>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</si>
  <si>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</si>
  <si>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</si>
  <si>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</si>
  <si>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</si>
  <si>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</si>
  <si>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</si>
  <si>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</si>
  <si>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</si>
  <si>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</si>
  <si>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</si>
  <si>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</si>
  <si>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</si>
  <si>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</si>
  <si>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</si>
  <si>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Resultat af kontrol med overholdelse af den økonomiske ramme for 2021</t>
  </si>
  <si>
    <t>Harrestrup Å-samarbejdet</t>
  </si>
  <si>
    <t>Udvidelser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</si>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</sst>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yNHOTEBgJQcvXqlawwl6c4MBZ0IVUf78+UysX6p0HBIi4WrVW0EK0f9fN5s2OxPgpHIWSFaztbvMkz7RecPBOA==" saltValue="Ac01GW1fEbeNI4KsYddkQ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99688</v>
      </c>
      <c r="D10" s="14" t="s">
        <v>3</v>
      </c>
      <c r="E10" s="1"/>
      <c r="F10" s="1"/>
    </row>
    <row r="11" spans="1:6" x14ac:dyDescent="0.25">
      <c r="A11" s="1"/>
      <c r="B11" s="94" t="s">
        <v>266</v>
      </c>
      <c r="C11" s="9">
        <v>14296126</v>
      </c>
      <c r="D11" s="14" t="s">
        <v>3</v>
      </c>
      <c r="E11" s="1"/>
      <c r="F11" s="1"/>
    </row>
    <row r="12" spans="1:6" x14ac:dyDescent="0.25">
      <c r="A12" s="1"/>
      <c r="B12" s="32" t="s">
        <v>200</v>
      </c>
      <c r="C12" s="12">
        <f>SUM(C10:C11)</f>
        <v>14395814</v>
      </c>
      <c r="D12" s="13" t="s">
        <v>3</v>
      </c>
      <c r="E12" s="1"/>
      <c r="F12" s="1"/>
    </row>
    <row r="13" spans="1:6" x14ac:dyDescent="0.25">
      <c r="A13" s="1"/>
      <c r="B13" s="32" t="s">
        <v>201</v>
      </c>
      <c r="C13" s="12">
        <f>C12*(1+'Fane 15. Nøgletal'!C15)^2</f>
        <v>15439040.635631042</v>
      </c>
      <c r="D13" s="13" t="s">
        <v>3</v>
      </c>
      <c r="E13" s="1"/>
      <c r="F13" s="1"/>
    </row>
    <row r="14" spans="1:6" x14ac:dyDescent="0.25">
      <c r="A14" s="1"/>
      <c r="B14" s="16"/>
      <c r="C14" s="15"/>
      <c r="D14" s="15"/>
      <c r="E14" s="1"/>
      <c r="F14" s="1"/>
    </row>
    <row r="15" spans="1:6" x14ac:dyDescent="0.25">
      <c r="A15" s="1"/>
      <c r="B15" s="16"/>
      <c r="C15" s="15"/>
      <c r="D15" s="15"/>
      <c r="E15" s="1"/>
      <c r="F15" s="1"/>
    </row>
    <row r="16" spans="1:6" x14ac:dyDescent="0.25">
      <c r="A16" s="1"/>
      <c r="B16" s="131" t="s">
        <v>117</v>
      </c>
      <c r="C16" s="132"/>
      <c r="D16" s="133"/>
      <c r="E16" s="1"/>
      <c r="F16" s="1"/>
    </row>
    <row r="17" spans="1:6" x14ac:dyDescent="0.25">
      <c r="A17" s="1"/>
      <c r="B17" s="94" t="s">
        <v>99</v>
      </c>
      <c r="C17" s="9">
        <v>209000</v>
      </c>
      <c r="D17" s="14" t="s">
        <v>3</v>
      </c>
      <c r="E17" s="1"/>
      <c r="F17" s="1"/>
    </row>
    <row r="18" spans="1:6" x14ac:dyDescent="0.25">
      <c r="A18" s="1"/>
      <c r="B18" s="94" t="s">
        <v>129</v>
      </c>
      <c r="C18" s="9">
        <v>209000</v>
      </c>
      <c r="D18" s="14" t="s">
        <v>3</v>
      </c>
      <c r="E18" s="1"/>
      <c r="F18" s="1"/>
    </row>
    <row r="19" spans="1:6" x14ac:dyDescent="0.25">
      <c r="A19" s="1"/>
      <c r="B19" s="94" t="s">
        <v>155</v>
      </c>
      <c r="C19" s="9">
        <v>209000</v>
      </c>
      <c r="D19" s="14" t="s">
        <v>3</v>
      </c>
      <c r="E19" s="1"/>
      <c r="F19" s="1"/>
    </row>
    <row r="20" spans="1:6" x14ac:dyDescent="0.25">
      <c r="A20" s="1"/>
      <c r="B20" s="33" t="s">
        <v>202</v>
      </c>
      <c r="C20" s="9">
        <v>209000</v>
      </c>
      <c r="D20" s="40" t="s">
        <v>3</v>
      </c>
      <c r="E20" s="1"/>
      <c r="F20" s="1"/>
    </row>
    <row r="21" spans="1:6" x14ac:dyDescent="0.25">
      <c r="A21" s="1"/>
      <c r="B21" s="131"/>
      <c r="C21" s="132"/>
      <c r="D21" s="133"/>
      <c r="E21" s="1"/>
      <c r="F21" s="1"/>
    </row>
    <row r="22" spans="1:6" x14ac:dyDescent="0.25">
      <c r="A22" s="1"/>
      <c r="B22" s="1"/>
      <c r="C22" s="1"/>
      <c r="D22" s="1"/>
      <c r="E22" s="1"/>
      <c r="F22" s="1"/>
    </row>
    <row r="23" spans="1:6" x14ac:dyDescent="0.25">
      <c r="A23" s="1"/>
      <c r="B23" s="1"/>
      <c r="C23" s="1"/>
      <c r="D23" s="1"/>
      <c r="E23" s="1"/>
      <c r="F23" s="1"/>
    </row>
    <row r="24" spans="1:6" x14ac:dyDescent="0.25">
      <c r="A24" s="1"/>
      <c r="B24" s="131" t="s">
        <v>98</v>
      </c>
      <c r="C24" s="132"/>
      <c r="D24" s="133"/>
      <c r="E24" s="1"/>
      <c r="F24" s="1"/>
    </row>
    <row r="25" spans="1:6" x14ac:dyDescent="0.25">
      <c r="A25" s="1"/>
      <c r="B25" s="94" t="s">
        <v>99</v>
      </c>
      <c r="C25" s="9">
        <v>0</v>
      </c>
      <c r="D25" s="14" t="s">
        <v>3</v>
      </c>
      <c r="E25" s="1"/>
      <c r="F25" s="1"/>
    </row>
    <row r="26" spans="1:6" x14ac:dyDescent="0.25">
      <c r="A26" s="1"/>
      <c r="B26" s="94" t="s">
        <v>129</v>
      </c>
      <c r="C26" s="9">
        <v>0</v>
      </c>
      <c r="D26" s="14" t="s">
        <v>3</v>
      </c>
      <c r="E26" s="1"/>
      <c r="F26" s="1"/>
    </row>
    <row r="27" spans="1:6" x14ac:dyDescent="0.25">
      <c r="A27" s="1"/>
      <c r="B27" s="94" t="s">
        <v>155</v>
      </c>
      <c r="C27" s="9">
        <v>0</v>
      </c>
      <c r="D27" s="14" t="s">
        <v>3</v>
      </c>
      <c r="E27" s="1"/>
      <c r="F27" s="1"/>
    </row>
    <row r="28" spans="1:6" x14ac:dyDescent="0.25">
      <c r="A28" s="1"/>
      <c r="B28" s="33" t="s">
        <v>202</v>
      </c>
      <c r="C28" s="9">
        <v>0</v>
      </c>
      <c r="D28" s="40" t="s">
        <v>3</v>
      </c>
      <c r="E28" s="1"/>
      <c r="F28" s="1"/>
    </row>
    <row r="29" spans="1:6" x14ac:dyDescent="0.25">
      <c r="A29" s="1"/>
      <c r="B29" s="131"/>
      <c r="C29" s="132"/>
      <c r="D29" s="133"/>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49"/>
      <c r="B46" s="49"/>
      <c r="C46" s="49"/>
      <c r="D46" s="49"/>
      <c r="E46" s="49"/>
      <c r="F46" s="49"/>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sheetData>
  <sheetProtection algorithmName="SHA-512" hashValue="lQfR23qPTAPRDiTplBEwf1Kbp9LhMjS9lvfmgLiMRaY9vM9DFYEkLPlfz6eT6c3fYCgnD0VhhIsO1uWqEnw7vw==" saltValue="b+zM6xD7/MxvlYQf9phUjQ==" spinCount="100000" sheet="1" objects="1" scenarios="1"/>
  <mergeCells count="6">
    <mergeCell ref="B29:D29"/>
    <mergeCell ref="B3:D4"/>
    <mergeCell ref="B8:D8"/>
    <mergeCell ref="B16:D16"/>
    <mergeCell ref="B24:D24"/>
    <mergeCell ref="B21:D21"/>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-2871993.8136631176</v>
      </c>
      <c r="F9" s="14" t="s">
        <v>3</v>
      </c>
      <c r="G9" s="1"/>
    </row>
    <row r="10" spans="1:7" x14ac:dyDescent="0.25">
      <c r="A10" s="1"/>
      <c r="B10" s="136" t="s">
        <v>263</v>
      </c>
      <c r="C10" s="137"/>
      <c r="D10" s="138"/>
      <c r="E10" s="9">
        <v>0</v>
      </c>
      <c r="F10" s="14" t="s">
        <v>3</v>
      </c>
      <c r="G10" s="1"/>
    </row>
    <row r="11" spans="1:7" x14ac:dyDescent="0.25">
      <c r="A11" s="1"/>
      <c r="B11" s="32"/>
      <c r="C11" s="27"/>
      <c r="D11" s="27"/>
      <c r="E11" s="27"/>
      <c r="F11" s="19"/>
      <c r="G11" s="1"/>
    </row>
    <row r="12" spans="1:7" ht="83.25" customHeight="1" x14ac:dyDescent="0.25">
      <c r="A12" s="1"/>
      <c r="B12" s="121" t="s">
        <v>285</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280</v>
      </c>
      <c r="C15" s="137"/>
      <c r="D15" s="138"/>
      <c r="E15" s="9">
        <v>0</v>
      </c>
      <c r="F15" s="14" t="s">
        <v>3</v>
      </c>
      <c r="G15" s="1"/>
    </row>
    <row r="16" spans="1:7" x14ac:dyDescent="0.25">
      <c r="A16" s="1"/>
      <c r="B16" s="136" t="s">
        <v>281</v>
      </c>
      <c r="C16" s="137"/>
      <c r="D16" s="138"/>
      <c r="E16" s="9">
        <v>0</v>
      </c>
      <c r="F16" s="14" t="s">
        <v>3</v>
      </c>
      <c r="G16" s="1"/>
    </row>
    <row r="17" spans="1:7" x14ac:dyDescent="0.25">
      <c r="A17" s="1"/>
      <c r="B17" s="32"/>
      <c r="C17" s="27"/>
      <c r="D17" s="27"/>
      <c r="E17" s="27"/>
      <c r="F17" s="19"/>
      <c r="G17" s="1"/>
    </row>
    <row r="18" spans="1:7" ht="31.5" customHeight="1" x14ac:dyDescent="0.25">
      <c r="A18" s="1"/>
      <c r="B18" s="121" t="s">
        <v>286</v>
      </c>
      <c r="C18" s="122"/>
      <c r="D18" s="122"/>
      <c r="E18" s="122"/>
      <c r="F18" s="123"/>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39214810.646834448</v>
      </c>
      <c r="F21" s="14" t="s">
        <v>3</v>
      </c>
      <c r="G21" s="1"/>
    </row>
    <row r="22" spans="1:7" x14ac:dyDescent="0.25">
      <c r="A22" s="1"/>
      <c r="B22" s="91" t="s">
        <v>207</v>
      </c>
      <c r="C22" s="92"/>
      <c r="D22" s="93"/>
      <c r="E22" s="9">
        <v>41588027</v>
      </c>
      <c r="F22" s="14" t="s">
        <v>3</v>
      </c>
      <c r="G22" s="1"/>
    </row>
    <row r="23" spans="1:7" x14ac:dyDescent="0.25">
      <c r="A23" s="1"/>
      <c r="B23" s="91" t="s">
        <v>33</v>
      </c>
      <c r="C23" s="92"/>
      <c r="D23" s="93"/>
      <c r="E23" s="9">
        <v>0</v>
      </c>
      <c r="F23" s="14" t="s">
        <v>3</v>
      </c>
      <c r="G23" s="1"/>
    </row>
    <row r="24" spans="1:7" x14ac:dyDescent="0.25">
      <c r="A24" s="1"/>
      <c r="B24" s="89" t="s">
        <v>267</v>
      </c>
      <c r="C24" s="90"/>
      <c r="D24" s="96"/>
      <c r="E24" s="72">
        <f>E21-(E22-E23)</f>
        <v>-2373216.353165552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282</v>
      </c>
      <c r="C27" s="132"/>
      <c r="D27" s="132"/>
      <c r="E27" s="132"/>
      <c r="F27" s="133"/>
      <c r="G27" s="1"/>
    </row>
    <row r="28" spans="1:7" x14ac:dyDescent="0.25">
      <c r="A28" s="1"/>
      <c r="B28" s="134" t="s">
        <v>283</v>
      </c>
      <c r="C28" s="135"/>
      <c r="D28" s="155"/>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6" t="s">
        <v>143</v>
      </c>
      <c r="C32" s="157"/>
      <c r="D32" s="158"/>
      <c r="E32" s="74">
        <f>IF(AND(E9&gt;0,(E9+E24)&gt;0),0,IF(AND(E9&gt;0,(E9+E24)&lt;0),(E9+E24),IF(AND(E9&lt;0,E24&lt;0),E24,0)))</f>
        <v>-2373216.353165552</v>
      </c>
      <c r="F32" s="14" t="s">
        <v>3</v>
      </c>
      <c r="G32" s="1"/>
    </row>
    <row r="33" spans="1:7" x14ac:dyDescent="0.25">
      <c r="A33" s="1"/>
      <c r="B33" s="156" t="s">
        <v>102</v>
      </c>
      <c r="C33" s="157"/>
      <c r="D33" s="158"/>
      <c r="E33" s="9">
        <v>4</v>
      </c>
      <c r="F33" s="14" t="s">
        <v>20</v>
      </c>
      <c r="G33" s="1"/>
    </row>
    <row r="34" spans="1:7" x14ac:dyDescent="0.25">
      <c r="A34" s="1"/>
      <c r="B34" s="151" t="s">
        <v>144</v>
      </c>
      <c r="C34" s="151"/>
      <c r="D34" s="151"/>
      <c r="E34" s="73">
        <f>E32/E33</f>
        <v>-593304.08829138801</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4sDN+2zeIlCMhJcta2/jkLmycaQDvFwKX/0jwoeluTSmYf5Hi3izGSAxjuw2vrVW50Noqo01LHo/nP73ZvLRhg==" saltValue="2RGId5GVJiSa+GhuY34g3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271</v>
      </c>
      <c r="C10" s="160"/>
      <c r="D10" s="160"/>
      <c r="E10" s="160"/>
      <c r="F10" s="161"/>
      <c r="G10" s="9">
        <v>0</v>
      </c>
      <c r="H10" s="9" t="s">
        <v>3</v>
      </c>
      <c r="I10" s="1"/>
    </row>
    <row r="11" spans="1:9" x14ac:dyDescent="0.25">
      <c r="A11" s="1"/>
      <c r="B11" s="159" t="s">
        <v>272</v>
      </c>
      <c r="C11" s="160"/>
      <c r="D11" s="160"/>
      <c r="E11" s="160"/>
      <c r="F11" s="161"/>
      <c r="G11" s="9">
        <v>0</v>
      </c>
      <c r="H11" s="9" t="s">
        <v>3</v>
      </c>
      <c r="I11" s="1"/>
    </row>
    <row r="12" spans="1:9" x14ac:dyDescent="0.25">
      <c r="A12" s="1"/>
      <c r="B12" s="159" t="s">
        <v>273</v>
      </c>
      <c r="C12" s="160"/>
      <c r="D12" s="160"/>
      <c r="E12" s="160"/>
      <c r="F12" s="161"/>
      <c r="G12" s="9">
        <v>0</v>
      </c>
      <c r="H12" s="9" t="s">
        <v>3</v>
      </c>
      <c r="I12" s="1"/>
    </row>
    <row r="13" spans="1:9" x14ac:dyDescent="0.25">
      <c r="A13" s="1"/>
      <c r="B13" s="159" t="s">
        <v>274</v>
      </c>
      <c r="C13" s="160"/>
      <c r="D13" s="160"/>
      <c r="E13" s="160"/>
      <c r="F13" s="161"/>
      <c r="G13" s="9">
        <v>0</v>
      </c>
      <c r="H13" s="9" t="s">
        <v>3</v>
      </c>
      <c r="I13" s="1"/>
    </row>
    <row r="14" spans="1:9" x14ac:dyDescent="0.25">
      <c r="A14" s="1"/>
      <c r="B14" s="159" t="s">
        <v>275</v>
      </c>
      <c r="C14" s="160"/>
      <c r="D14" s="160"/>
      <c r="E14" s="160"/>
      <c r="F14" s="161"/>
      <c r="G14" s="9">
        <v>0</v>
      </c>
      <c r="H14" s="9" t="s">
        <v>3</v>
      </c>
      <c r="I14" s="1"/>
    </row>
    <row r="15" spans="1:9" x14ac:dyDescent="0.25">
      <c r="A15" s="1"/>
      <c r="B15" s="159" t="s">
        <v>276</v>
      </c>
      <c r="C15" s="160"/>
      <c r="D15" s="160"/>
      <c r="E15" s="160"/>
      <c r="F15" s="161"/>
      <c r="G15" s="9">
        <v>0</v>
      </c>
      <c r="H15" s="9" t="s">
        <v>3</v>
      </c>
      <c r="I15" s="1"/>
    </row>
    <row r="16" spans="1:9" x14ac:dyDescent="0.25">
      <c r="A16" s="1"/>
      <c r="B16" s="159" t="s">
        <v>277</v>
      </c>
      <c r="C16" s="160"/>
      <c r="D16" s="160"/>
      <c r="E16" s="160"/>
      <c r="F16" s="161"/>
      <c r="G16" s="9">
        <v>0</v>
      </c>
      <c r="H16" s="9" t="s">
        <v>3</v>
      </c>
      <c r="I16" s="1"/>
    </row>
    <row r="17" spans="1:9" x14ac:dyDescent="0.25">
      <c r="A17" s="1"/>
      <c r="B17" s="159" t="s">
        <v>278</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iJDyCE2xmXj8CxwB0d3lpP7kcM9E/XzyJtIRWUcEU0/lcqESLeN2wmw9hFn5UhoMHGvpFJxAnXRbPv+PRw+NJA==" saltValue="JYAb6BRX7ZHe4vaFMA2noA=="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5"/>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2633144</v>
      </c>
      <c r="F14" s="8" t="s">
        <v>3</v>
      </c>
      <c r="G14" s="1"/>
    </row>
    <row r="15" spans="1:7" x14ac:dyDescent="0.25">
      <c r="A15" s="1"/>
      <c r="B15" s="121" t="s">
        <v>211</v>
      </c>
      <c r="C15" s="122"/>
      <c r="D15" s="123"/>
      <c r="E15" s="9">
        <v>136761</v>
      </c>
      <c r="F15" s="8" t="s">
        <v>3</v>
      </c>
      <c r="G15" s="1"/>
    </row>
    <row r="16" spans="1:7" x14ac:dyDescent="0.25">
      <c r="A16" s="1"/>
      <c r="B16" s="134" t="s">
        <v>101</v>
      </c>
      <c r="C16" s="135"/>
      <c r="D16" s="155"/>
      <c r="E16" s="10">
        <f>E15-E14</f>
        <v>-2496383</v>
      </c>
      <c r="F16" s="11" t="s">
        <v>3</v>
      </c>
      <c r="G16" s="1"/>
    </row>
    <row r="17" spans="1:7" x14ac:dyDescent="0.25">
      <c r="A17" s="1"/>
      <c r="B17" s="32" t="s">
        <v>212</v>
      </c>
      <c r="C17" s="27"/>
      <c r="D17" s="27"/>
      <c r="E17" s="12">
        <f>E12+E16</f>
        <v>-2496383</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SItodlNl5RCuDkQgSUM91sKdv6NdEacnVxAxhFx5BFxq9eMehaG2elIWsRE0XGVwxu9AmgCqEf3PeNkTaUQ2g==" saltValue="IH03GAvyqe8STMFLQnD2J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R1Y1LTv5tmgQNgi8wiW55J4mFEkPBB8iv5V9bHUFNUSp1SYSv/dTXDgKKT77h7ocDHiKcxrWDmU25JFJKldxAA==" saltValue="/s0Tv3whyE6BWnYLQO41H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268</v>
      </c>
      <c r="C11" s="21">
        <v>1140694</v>
      </c>
      <c r="D11" s="14" t="s">
        <v>3</v>
      </c>
      <c r="E11" s="9">
        <v>0</v>
      </c>
      <c r="F11" s="14" t="s">
        <v>3</v>
      </c>
      <c r="G11" s="1"/>
    </row>
    <row r="12" spans="1:7" x14ac:dyDescent="0.25">
      <c r="A12" s="1"/>
      <c r="B12" s="23" t="s">
        <v>269</v>
      </c>
      <c r="C12" s="21">
        <v>0</v>
      </c>
      <c r="D12" s="14" t="s">
        <v>3</v>
      </c>
      <c r="E12" s="9">
        <v>81879</v>
      </c>
      <c r="F12" s="14" t="s">
        <v>3</v>
      </c>
      <c r="G12" s="1"/>
    </row>
    <row r="13" spans="1:7" x14ac:dyDescent="0.25">
      <c r="A13" s="1"/>
      <c r="B13" s="32" t="s">
        <v>156</v>
      </c>
      <c r="C13" s="12">
        <f>SUM(C10:C12)</f>
        <v>1140694</v>
      </c>
      <c r="D13" s="13" t="s">
        <v>3</v>
      </c>
      <c r="E13" s="12">
        <f>SUM(E10:E12)</f>
        <v>81879</v>
      </c>
      <c r="F13" s="13" t="s">
        <v>3</v>
      </c>
      <c r="G13" s="1"/>
    </row>
    <row r="14" spans="1:7" x14ac:dyDescent="0.25">
      <c r="A14" s="1"/>
      <c r="B14" s="32" t="s">
        <v>213</v>
      </c>
      <c r="C14" s="12">
        <f>C13*(1+'Fane 15. Nøgletal'!C15)</f>
        <v>1181302.7064</v>
      </c>
      <c r="D14" s="13" t="s">
        <v>3</v>
      </c>
      <c r="E14" s="12">
        <f>E13*(1+'Fane 15. Nøgletal'!C15)</f>
        <v>84793.892400000012</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WGS9yR0dBN2/BT2q9Jat31qeKjt5YLuixUWruOFLqwe1ITY3R7B5VZ/a3T+NwV98iMKejtH5JU0AuJdAi+Muw==" saltValue="JkNfYVxD6dZD9xci3eYGv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287</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I9HVv3k86rZTA8T//VZF6ySY/sZF9lHsDQfRIgcJhwz2vpndlUBgqmozlWYfPpNfveLVlCpnh44Bw2qupNjJxA==" saltValue="9W15kPxBUZCStbHVRsY3Z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459686.52027456107</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-9193.730405491222</v>
      </c>
      <c r="F12" s="14" t="s">
        <v>3</v>
      </c>
      <c r="G12" s="1"/>
    </row>
    <row r="13" spans="1:7" x14ac:dyDescent="0.25">
      <c r="A13" s="1"/>
      <c r="B13" s="131" t="s">
        <v>92</v>
      </c>
      <c r="C13" s="132"/>
      <c r="D13" s="133"/>
      <c r="E13" s="12">
        <f>SUM(E10:E12)*(1+'Fane 15. Nøgletal'!C15)^2</f>
        <v>483138.81304991618</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459686.52027456107</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-9193.730405491222</v>
      </c>
      <c r="F18" s="14" t="s">
        <v>3</v>
      </c>
      <c r="G18" s="1"/>
    </row>
    <row r="19" spans="1:7" x14ac:dyDescent="0.25">
      <c r="A19" s="1"/>
      <c r="B19" s="131" t="s">
        <v>131</v>
      </c>
      <c r="C19" s="132"/>
      <c r="D19" s="133"/>
      <c r="E19" s="12">
        <f>SUM(E16:E18)*(1+'Fane 15. Nøgletal'!C15)^3</f>
        <v>500338.55479449325</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459686.52027456107</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-9193.730405491222</v>
      </c>
      <c r="F24" s="14" t="s">
        <v>3</v>
      </c>
      <c r="G24" s="1"/>
    </row>
    <row r="25" spans="1:7" x14ac:dyDescent="0.25">
      <c r="A25" s="1"/>
      <c r="B25" s="131" t="s">
        <v>158</v>
      </c>
      <c r="C25" s="132"/>
      <c r="D25" s="133"/>
      <c r="E25" s="12">
        <f>SUM(E22:E24)*(1+'Fane 15. Nøgletal'!C15)^4</f>
        <v>518150.60734517721</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459686.52027456107</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-9193.730405491222</v>
      </c>
      <c r="F30" s="14" t="s">
        <v>3</v>
      </c>
      <c r="G30" s="1"/>
    </row>
    <row r="31" spans="1:7" x14ac:dyDescent="0.25">
      <c r="A31" s="1"/>
      <c r="B31" s="131" t="s">
        <v>215</v>
      </c>
      <c r="C31" s="132"/>
      <c r="D31" s="133"/>
      <c r="E31" s="12">
        <f>SUM(E28:E30)*(1+'Fane 15. Nøgletal'!C15)^5</f>
        <v>536596.76896666549</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65eBFAY4UaD0EKjTHfF0gcyykUIMXi3D10sbbZBituAPsNE0PnZHAsA0P4Q7YCTkaG+XSZrCwddjvOjEKUmjw==" saltValue="ANJHg3PHmSaBErgMmpCwIw=="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1.28515625" style="2" customWidth="1"/>
    <col min="2" max="2" width="40.140625" style="2" customWidth="1"/>
    <col min="3" max="3" width="15.5703125" style="2" customWidth="1"/>
    <col min="4" max="4" width="3.28515625" style="2" customWidth="1"/>
    <col min="5" max="5" width="17.140625" style="2" customWidth="1"/>
    <col min="6" max="6" width="3.28515625" style="2" customWidth="1"/>
    <col min="7" max="7" width="1.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7oM9ezGvER/X/V++rKxJ+oI0UZ7Ns1FE49hClFQwIu6U6o9dP8UFzGxBBzdkVVdRzFCCpBig1UK9NDJWKW2zYQ==" saltValue="ukuZviz8cooqlgT/HCK3F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n+ZBPd3Lj2LvWeb20CnIp6HBu0NgePtGHeX9RuDx8Z4NUp3NAWN7/klxcNK2uXZBApqchriJkN1NfuwsOnq8kQ==" saltValue="7bQT+lGT1cmC+k02RZyWy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24290174.988105945</v>
      </c>
      <c r="D9" s="8" t="s">
        <v>3</v>
      </c>
      <c r="E9" s="1"/>
    </row>
    <row r="10" spans="1:5" ht="17.25" customHeight="1" x14ac:dyDescent="0.25">
      <c r="A10" s="1"/>
      <c r="B10" s="83" t="s">
        <v>39</v>
      </c>
      <c r="C10" s="7">
        <f>'Fane 11.1. Varige tillæg'!C14</f>
        <v>1181302.7064</v>
      </c>
      <c r="D10" s="8" t="s">
        <v>3</v>
      </c>
      <c r="E10" s="1"/>
    </row>
    <row r="11" spans="1:5" ht="17.25" customHeight="1" x14ac:dyDescent="0.25">
      <c r="A11" s="1"/>
      <c r="B11" s="83" t="s">
        <v>40</v>
      </c>
      <c r="C11" s="9">
        <f>'Fane 11.1. Varige tillæg'!E14</f>
        <v>84793.892400000012</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125230.6163780296</v>
      </c>
      <c r="D16" s="8" t="s">
        <v>3</v>
      </c>
      <c r="E16" s="1"/>
    </row>
    <row r="17" spans="1:5" ht="17.25" customHeight="1" x14ac:dyDescent="0.25">
      <c r="A17" s="1"/>
      <c r="B17" s="83" t="s">
        <v>10</v>
      </c>
      <c r="C17" s="44">
        <f>-SUM(C9,C10:C16)*'Fane 5. Individuelt eff. krav'!G9</f>
        <v>0</v>
      </c>
      <c r="D17" s="8" t="s">
        <v>3</v>
      </c>
      <c r="E17" s="1"/>
    </row>
    <row r="18" spans="1:5" ht="17.25" customHeight="1" x14ac:dyDescent="0.25">
      <c r="A18" s="1"/>
      <c r="B18" s="83" t="s">
        <v>24</v>
      </c>
      <c r="C18" s="44">
        <f>-'Fane 4.1. Gen. krav - drift'!G45</f>
        <v>-162328.73495923021</v>
      </c>
      <c r="D18" s="8" t="s">
        <v>3</v>
      </c>
      <c r="E18" s="1"/>
    </row>
    <row r="19" spans="1:5" ht="17.25" customHeight="1" x14ac:dyDescent="0.25">
      <c r="A19" s="1"/>
      <c r="B19" s="83" t="s">
        <v>25</v>
      </c>
      <c r="C19" s="44">
        <f>-'Fane 4.2. Gen. krav - anlæg'!G43</f>
        <v>-258525.27982707907</v>
      </c>
      <c r="D19" s="8" t="s">
        <v>3</v>
      </c>
      <c r="E19" s="48"/>
    </row>
    <row r="20" spans="1:5" ht="17.25" customHeight="1" x14ac:dyDescent="0.25">
      <c r="A20" s="1"/>
      <c r="B20" s="89" t="s">
        <v>21</v>
      </c>
      <c r="C20" s="10">
        <f>SUM(C9:C19)</f>
        <v>25260648.188497663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omk.'!C13+'Fane 6. Ikke-påvirkelige omk.'!C17+'Fane 6. Ikke-påvirkelige omk.'!C25</f>
        <v>15648040.635631042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483138.81304991618</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-2496383</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38895444.637178622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nKaFY9LoAlfgrjMNTsYT5f8UbyPqENkvIGfcChZAsUP/YZTOPe/Ly4U2OTdz8ZhYXMeqy0T4euw8EAXMYBWEw==" saltValue="vehinwNNmZnKqLBWn8G8G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v0JGfDC4n4RqCniRs2BK/9m+XRBZvE+e1I0Rmi4SIOk5tGSIbDPPdbemm1XBvsN/ByZ630fzIHDbFStQI3EPcQ==" saltValue="w1fHFmhU8jCgavoYm/IPb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25260648.188497663</v>
      </c>
      <c r="D9" s="8" t="s">
        <v>3</v>
      </c>
      <c r="E9" s="1"/>
    </row>
    <row r="10" spans="1:5" ht="15" customHeight="1" x14ac:dyDescent="0.25">
      <c r="A10" s="1"/>
      <c r="B10" s="25" t="s">
        <v>19</v>
      </c>
      <c r="C10" s="7">
        <f>SUM(C9:C9)*'Fane 15. Nøgletal'!C15</f>
        <v>899279.07551051676</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-164745.48516530325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25995181.778842878</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Nøgletal'!C15)+'Fane 6. Ikke-påvirkelige omk.'!C18+'Fane 6. Ikke-påvirkelige omk.'!C26</f>
        <v>16197670.482259508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500338.55479449325</v>
      </c>
      <c r="D18" s="11" t="s">
        <v>3</v>
      </c>
      <c r="E18" s="1"/>
    </row>
    <row r="19" spans="1:5" x14ac:dyDescent="0.25">
      <c r="A19" s="1"/>
      <c r="B19" s="32" t="s">
        <v>143</v>
      </c>
      <c r="C19" s="27"/>
      <c r="D19" s="19"/>
      <c r="E19" s="1"/>
    </row>
    <row r="20" spans="1:5" ht="15" customHeight="1" x14ac:dyDescent="0.25">
      <c r="A20" s="1"/>
      <c r="B20" s="30" t="s">
        <v>180</v>
      </c>
      <c r="C20" s="10">
        <f>'Fane 7. Kontrol af ØR2021'!E34</f>
        <v>-593304.08829138801</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42099886.727605492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1yPHv52cuXzc42VCcyl5tXE9DzAVkgzMurR8IW/ZAomgupe+c5F6mugZ7vdpIfM0dpNZf3qi871MJHK9lBQ0A==" saltValue="YQtHdI6hRmFW9DRliYjJP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25995181.778842878</v>
      </c>
      <c r="D9" s="8" t="s">
        <v>3</v>
      </c>
      <c r="E9" s="1"/>
    </row>
    <row r="10" spans="1:5" ht="15" customHeight="1" x14ac:dyDescent="0.25">
      <c r="A10" s="1"/>
      <c r="B10" s="25" t="s">
        <v>19</v>
      </c>
      <c r="C10" s="7">
        <f>SUM(C9:C9)*'Fane 15. Nøgletal'!C15</f>
        <v>925428.47132680647</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-167198.21594844427</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26753412.034221239</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Nøgletal'!C15)^2+'Fane 6. Ikke-påvirkelige omk.'!C19+'Fane 6. Ikke-påvirkelige omk.'!C27</f>
        <v>16766867.151427947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518150.60734517721</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-593304.08829138801</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43445125.704702973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B/vJoH3spkoHMCXX9pOOnaJjyTqgt4URTq/YRMktalcC64C3W7sqCvVb00A+I0wwYFu3AC1yRsNphIwe8I+qw==" saltValue="KBIUlyl5R48wHYHWf+fq/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26753412.034221239</v>
      </c>
      <c r="D9" s="8" t="s">
        <v>3</v>
      </c>
      <c r="E9" s="1"/>
    </row>
    <row r="10" spans="1:5" ht="15" customHeight="1" x14ac:dyDescent="0.25">
      <c r="A10" s="1"/>
      <c r="B10" s="25" t="s">
        <v>19</v>
      </c>
      <c r="C10" s="7">
        <f>SUM(C9:C9)*'Fane 15. Nøgletal'!C15</f>
        <v>952421.46841827617</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-169687.46298748476</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27536146.039652031</v>
      </c>
      <c r="D14" s="11" t="s">
        <v>3</v>
      </c>
      <c r="E14" s="1"/>
    </row>
    <row r="15" spans="1:5" x14ac:dyDescent="0.25">
      <c r="A15" s="1"/>
      <c r="B15" s="32" t="s">
        <v>12</v>
      </c>
      <c r="C15" s="27"/>
      <c r="D15" s="19"/>
      <c r="E15" s="1"/>
    </row>
    <row r="16" spans="1:5" ht="15" customHeight="1" x14ac:dyDescent="0.25">
      <c r="A16" s="1"/>
      <c r="B16" s="30" t="s">
        <v>12</v>
      </c>
      <c r="C16" s="10">
        <f>'Fane 6. Ikke-påvirkelige omk.'!C13*(1+'Fane 15. Nøgletal'!C15)^3+'Fane 6. Ikke-påvirkelige omk.'!C20+'Fane 6. Ikke-påvirkelige omk.'!C28</f>
        <v>17356327.222018782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536596.76896666549</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-593304.08829138801</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44835765.942346096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rqm7Z/lKkYsWflEIC6uiXtlcylSBFdcx7Jzwqu8QqBEynt7k/3zdV46PGsHQ0JcQNk5BGvgrPw2EEAivsNFxA==" saltValue="Fyqaay6uj72zh9HnJ2/8p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284</v>
      </c>
      <c r="C8" s="27"/>
      <c r="D8" s="27"/>
      <c r="E8" s="27"/>
      <c r="F8" s="19"/>
      <c r="G8" s="1"/>
    </row>
    <row r="9" spans="1:7" ht="15" customHeight="1" x14ac:dyDescent="0.25">
      <c r="A9" s="1"/>
      <c r="B9" s="121" t="s">
        <v>192</v>
      </c>
      <c r="C9" s="122"/>
      <c r="D9" s="123"/>
      <c r="E9" s="7">
        <v>24067668.676406384</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543049.1679</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81215.368886211058</v>
      </c>
      <c r="F16" s="8" t="s">
        <v>3</v>
      </c>
      <c r="G16" s="1"/>
    </row>
    <row r="17" spans="1:7" ht="15" customHeight="1" x14ac:dyDescent="0.25">
      <c r="A17" s="1"/>
      <c r="B17" s="121" t="s">
        <v>10</v>
      </c>
      <c r="C17" s="122"/>
      <c r="D17" s="123"/>
      <c r="E17" s="9">
        <v>0</v>
      </c>
      <c r="F17" s="8" t="s">
        <v>3</v>
      </c>
      <c r="G17" s="1"/>
    </row>
    <row r="18" spans="1:7" ht="15" customHeight="1" x14ac:dyDescent="0.25">
      <c r="A18" s="1"/>
      <c r="B18" s="121" t="s">
        <v>24</v>
      </c>
      <c r="C18" s="122"/>
      <c r="D18" s="123"/>
      <c r="E18" s="9">
        <f>-'Fane 4.1. Gen. krav - drift'!G39</f>
        <v>-140212.39430722839</v>
      </c>
      <c r="F18" s="8" t="s">
        <v>3</v>
      </c>
      <c r="G18" s="1"/>
    </row>
    <row r="19" spans="1:7" ht="15" customHeight="1" x14ac:dyDescent="0.25">
      <c r="A19" s="1"/>
      <c r="B19" s="121" t="s">
        <v>25</v>
      </c>
      <c r="C19" s="122"/>
      <c r="D19" s="123"/>
      <c r="E19" s="9">
        <f>-'Fane 4.2. Gen. krav - anlæg'!G37</f>
        <v>-261545.83077941765</v>
      </c>
      <c r="F19" s="8" t="s">
        <v>3</v>
      </c>
      <c r="G19" s="1"/>
    </row>
    <row r="20" spans="1:7" ht="15" customHeight="1" x14ac:dyDescent="0.25">
      <c r="A20" s="1"/>
      <c r="B20" s="54" t="s">
        <v>21</v>
      </c>
      <c r="C20" s="90"/>
      <c r="D20" s="96"/>
      <c r="E20" s="51">
        <f>SUM(E9:E19)</f>
        <v>24290174.988105945</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16335091.247189103</v>
      </c>
      <c r="F22" s="11" t="s">
        <v>3</v>
      </c>
      <c r="G22" s="1"/>
    </row>
    <row r="23" spans="1:7" ht="15" customHeight="1" x14ac:dyDescent="0.25">
      <c r="A23" s="1"/>
      <c r="B23" s="131" t="s">
        <v>86</v>
      </c>
      <c r="C23" s="132"/>
      <c r="D23" s="133"/>
      <c r="E23" s="27"/>
      <c r="F23" s="27"/>
      <c r="G23" s="1"/>
    </row>
    <row r="24" spans="1:7" ht="15" customHeight="1" x14ac:dyDescent="0.25">
      <c r="A24" s="1"/>
      <c r="B24" s="89" t="s">
        <v>86</v>
      </c>
      <c r="C24" s="37"/>
      <c r="D24" s="38"/>
      <c r="E24" s="10">
        <v>448005.28368769755</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27"/>
      <c r="G31" s="1"/>
    </row>
    <row r="32" spans="1:7" ht="15.4" customHeight="1" x14ac:dyDescent="0.25">
      <c r="A32" s="1"/>
      <c r="B32" s="128" t="s">
        <v>123</v>
      </c>
      <c r="C32" s="129"/>
      <c r="D32" s="130"/>
      <c r="E32" s="10">
        <v>-2453643</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38619628.518982746</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RY/JRAnoJnaOPahDRllyqM4rU6pBVjab0o+HrBHP2STzpjnyY3Ol+Cl4Zoq2hAlDpVPjqBihJRp8LhUgqsqcMA==" saltValue="aF/gbcZ92g+INOv4xQb6m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85546875" style="2" customWidth="1"/>
    <col min="2" max="5" width="9.140625" style="2"/>
    <col min="6" max="6" width="24.57031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6231708.2141869487</v>
      </c>
      <c r="H5" s="14" t="s">
        <v>3</v>
      </c>
      <c r="I5" s="1"/>
    </row>
    <row r="6" spans="1:9" x14ac:dyDescent="0.25">
      <c r="A6" s="1"/>
      <c r="B6" s="121" t="s">
        <v>120</v>
      </c>
      <c r="C6" s="122"/>
      <c r="D6" s="122"/>
      <c r="E6" s="122"/>
      <c r="F6" s="123"/>
      <c r="G6" s="77">
        <v>430438</v>
      </c>
      <c r="H6" s="14" t="s">
        <v>3</v>
      </c>
      <c r="I6" s="1"/>
    </row>
    <row r="7" spans="1:9" x14ac:dyDescent="0.25">
      <c r="A7" s="1"/>
      <c r="B7" s="136" t="s">
        <v>42</v>
      </c>
      <c r="C7" s="137"/>
      <c r="D7" s="137"/>
      <c r="E7" s="137"/>
      <c r="F7" s="138"/>
      <c r="G7" s="76">
        <f>SUM(G5:G6)*'Fane 15. Nøgletal'!C31</f>
        <v>133242.92428373898</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6205188.4324765159</v>
      </c>
      <c r="H11" s="14" t="s">
        <v>3</v>
      </c>
      <c r="I11" s="1"/>
    </row>
    <row r="12" spans="1:9" ht="15" customHeight="1" x14ac:dyDescent="0.25">
      <c r="A12" s="1"/>
      <c r="B12" s="136" t="s">
        <v>121</v>
      </c>
      <c r="C12" s="137"/>
      <c r="D12" s="137"/>
      <c r="E12" s="137"/>
      <c r="F12" s="138"/>
      <c r="G12" s="77">
        <v>0.31314565714215864</v>
      </c>
      <c r="H12" s="14" t="s">
        <v>3</v>
      </c>
      <c r="I12" s="1"/>
    </row>
    <row r="13" spans="1:9" x14ac:dyDescent="0.25">
      <c r="A13" s="1"/>
      <c r="B13" s="121" t="s">
        <v>118</v>
      </c>
      <c r="C13" s="122"/>
      <c r="D13" s="122"/>
      <c r="E13" s="122"/>
      <c r="F13" s="123"/>
      <c r="G13" s="77">
        <v>437970.66500000004</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132863.18821244346</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6178591.2546644006</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123571.82509328802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6174303.3123336639</v>
      </c>
      <c r="H25" s="14" t="s">
        <v>3</v>
      </c>
      <c r="I25" s="1"/>
    </row>
    <row r="26" spans="1:9" x14ac:dyDescent="0.25">
      <c r="A26" s="1"/>
      <c r="B26" s="143" t="s">
        <v>50</v>
      </c>
      <c r="C26" s="144"/>
      <c r="D26" s="144"/>
      <c r="E26" s="144"/>
      <c r="F26" s="145"/>
      <c r="G26" s="77">
        <v>0</v>
      </c>
      <c r="H26" s="14" t="s">
        <v>3</v>
      </c>
      <c r="I26" s="1"/>
    </row>
    <row r="27" spans="1:9" x14ac:dyDescent="0.25">
      <c r="A27" s="1"/>
      <c r="B27" s="136" t="s">
        <v>51</v>
      </c>
      <c r="C27" s="137"/>
      <c r="D27" s="137"/>
      <c r="E27" s="137"/>
      <c r="F27" s="138"/>
      <c r="G27" s="76">
        <f>(G25+G26)*'Fane 15. Nøgletal'!C31</f>
        <v>123486.06624667328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6170018.3458349044</v>
      </c>
      <c r="H31" s="14" t="s">
        <v>3</v>
      </c>
      <c r="I31" s="1"/>
    </row>
    <row r="32" spans="1:9" x14ac:dyDescent="0.25">
      <c r="A32" s="1"/>
      <c r="B32" s="136" t="s">
        <v>137</v>
      </c>
      <c r="C32" s="137"/>
      <c r="D32" s="137"/>
      <c r="E32" s="137"/>
      <c r="F32" s="138"/>
      <c r="G32" s="76">
        <v>960145.69991760002</v>
      </c>
      <c r="H32" s="14" t="s">
        <v>3</v>
      </c>
      <c r="I32" s="1"/>
    </row>
    <row r="33" spans="1:9" x14ac:dyDescent="0.25">
      <c r="A33" s="1"/>
      <c r="B33" s="136" t="s">
        <v>60</v>
      </c>
      <c r="C33" s="137"/>
      <c r="D33" s="137"/>
      <c r="E33" s="137"/>
      <c r="F33" s="138"/>
      <c r="G33" s="76">
        <f>(G31+G32)*'Fane 15. Nøgletal'!C31</f>
        <v>142603.2809150501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7010619.7153614191</v>
      </c>
      <c r="H37" s="14" t="s">
        <v>3</v>
      </c>
      <c r="I37" s="1"/>
    </row>
    <row r="38" spans="1:9" x14ac:dyDescent="0.25">
      <c r="A38" s="1"/>
      <c r="B38" s="136" t="s">
        <v>164</v>
      </c>
      <c r="C38" s="137"/>
      <c r="D38" s="137"/>
      <c r="E38" s="137"/>
      <c r="F38" s="138"/>
      <c r="G38" s="76">
        <v>0</v>
      </c>
      <c r="H38" s="14" t="s">
        <v>3</v>
      </c>
      <c r="I38" s="1"/>
    </row>
    <row r="39" spans="1:9" x14ac:dyDescent="0.25">
      <c r="A39" s="1"/>
      <c r="B39" s="136" t="s">
        <v>162</v>
      </c>
      <c r="C39" s="137"/>
      <c r="D39" s="137"/>
      <c r="E39" s="137"/>
      <c r="F39" s="138"/>
      <c r="G39" s="76">
        <f>(G37+G38)*'Fane 15. Nøgletal'!C31</f>
        <v>140212.39430722839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6893079.6652136697</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1223357.0827478401</v>
      </c>
      <c r="H44" s="14" t="s">
        <v>3</v>
      </c>
      <c r="I44" s="1"/>
    </row>
    <row r="45" spans="1:9" x14ac:dyDescent="0.25">
      <c r="A45" s="1"/>
      <c r="B45" s="136" t="s">
        <v>163</v>
      </c>
      <c r="C45" s="137"/>
      <c r="D45" s="137"/>
      <c r="E45" s="137"/>
      <c r="F45" s="138"/>
      <c r="G45" s="76">
        <f>SUM(G43:G44)*'Fane 15. Nøgletal'!C31</f>
        <v>162328.73495923021</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8237274.2582651619</v>
      </c>
      <c r="H52" s="14" t="s">
        <v>3</v>
      </c>
      <c r="I52" s="1"/>
    </row>
    <row r="53" spans="1:9" x14ac:dyDescent="0.25">
      <c r="A53" s="1"/>
      <c r="B53" s="136" t="s">
        <v>138</v>
      </c>
      <c r="C53" s="137"/>
      <c r="D53" s="137"/>
      <c r="E53" s="137"/>
      <c r="F53" s="138"/>
      <c r="G53" s="76">
        <f>(G52)*'Fane 15. Nøgletal'!C31</f>
        <v>164745.48516530325</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8359910.7974222135</v>
      </c>
      <c r="H57" s="14" t="s">
        <v>3</v>
      </c>
      <c r="I57" s="1"/>
    </row>
    <row r="58" spans="1:9" x14ac:dyDescent="0.25">
      <c r="A58" s="1"/>
      <c r="B58" s="91" t="s">
        <v>152</v>
      </c>
      <c r="C58" s="92"/>
      <c r="D58" s="92"/>
      <c r="E58" s="92"/>
      <c r="F58" s="93"/>
      <c r="G58" s="76">
        <f>(G57)*'Fane 15. Nøgletal'!C31</f>
        <v>167198.21594844427</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8484373.1493742373</v>
      </c>
      <c r="H62" s="14" t="s">
        <v>3</v>
      </c>
      <c r="I62" s="1"/>
    </row>
    <row r="63" spans="1:9" x14ac:dyDescent="0.25">
      <c r="A63" s="1"/>
      <c r="B63" s="91" t="s">
        <v>195</v>
      </c>
      <c r="C63" s="92"/>
      <c r="D63" s="92"/>
      <c r="E63" s="92"/>
      <c r="F63" s="93"/>
      <c r="G63" s="76">
        <f>(G62)*'Fane 15. Nøgletal'!C31</f>
        <v>169687.46298748476</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VOnKIDTsgFlLZyFp3052ZOZ7CCxBv41nn5Clby+O/O0g8GGxULPx42Wpm747meKvTbRgPJLLWW66HFIFRlcxtw==" saltValue="v7NldJC+facLd1K0zjeyb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8.140625" style="2" customWidth="1"/>
    <col min="7" max="7" width="14.140625" style="2" customWidth="1"/>
    <col min="8" max="8" width="3.28515625" style="2" customWidth="1"/>
    <col min="9" max="9" width="1.71093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14157595.319691734</v>
      </c>
      <c r="H5" s="14" t="s">
        <v>3</v>
      </c>
      <c r="I5" s="1"/>
    </row>
    <row r="6" spans="1:9" x14ac:dyDescent="0.25">
      <c r="A6" s="1"/>
      <c r="B6" s="136" t="s">
        <v>57</v>
      </c>
      <c r="C6" s="137"/>
      <c r="D6" s="137"/>
      <c r="E6" s="137"/>
      <c r="F6" s="138"/>
      <c r="G6" s="76">
        <f>G5*'Fane 15. Nøgletal'!C20</f>
        <v>128834.11740919479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14274264.523322485</v>
      </c>
      <c r="H10" s="14" t="s">
        <v>3</v>
      </c>
      <c r="I10" s="1"/>
    </row>
    <row r="11" spans="1:9" x14ac:dyDescent="0.25">
      <c r="A11" s="1"/>
      <c r="B11" s="136" t="s">
        <v>122</v>
      </c>
      <c r="C11" s="137"/>
      <c r="D11" s="137"/>
      <c r="E11" s="137"/>
      <c r="F11" s="138"/>
      <c r="G11" s="76">
        <v>43147.22217954103</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253418.18789538587</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14310113.444864759</v>
      </c>
      <c r="H17" s="14" t="s">
        <v>3</v>
      </c>
      <c r="I17" s="1"/>
    </row>
    <row r="18" spans="1:9" x14ac:dyDescent="0.25">
      <c r="A18" s="1"/>
      <c r="B18" s="143" t="s">
        <v>68</v>
      </c>
      <c r="C18" s="144"/>
      <c r="D18" s="144"/>
      <c r="E18" s="144"/>
      <c r="F18" s="145"/>
      <c r="G18" s="76">
        <v>1275219.8970534597</v>
      </c>
      <c r="H18" s="14" t="s">
        <v>3</v>
      </c>
      <c r="I18" s="1"/>
    </row>
    <row r="19" spans="1:9" x14ac:dyDescent="0.25">
      <c r="A19" s="1"/>
      <c r="B19" s="136" t="s">
        <v>69</v>
      </c>
      <c r="C19" s="137"/>
      <c r="D19" s="137"/>
      <c r="E19" s="137"/>
      <c r="F19" s="138"/>
      <c r="G19" s="76">
        <f>G17*'Fane 15. Nøgletal'!C21+G18*'Fane 15. Nøgletal'!C22</f>
        <v>264383.42107847135</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15622772.63428029</v>
      </c>
      <c r="H23" s="14" t="s">
        <v>3</v>
      </c>
      <c r="I23" s="1"/>
    </row>
    <row r="24" spans="1:9" x14ac:dyDescent="0.25">
      <c r="A24" s="1"/>
      <c r="B24" s="143" t="s">
        <v>72</v>
      </c>
      <c r="C24" s="144"/>
      <c r="D24" s="144"/>
      <c r="E24" s="144"/>
      <c r="F24" s="145"/>
      <c r="G24" s="76">
        <v>415302.53047008667</v>
      </c>
      <c r="H24" s="14" t="s">
        <v>3</v>
      </c>
      <c r="I24" s="1"/>
    </row>
    <row r="25" spans="1:9" x14ac:dyDescent="0.25">
      <c r="A25" s="1"/>
      <c r="B25" s="136" t="s">
        <v>73</v>
      </c>
      <c r="C25" s="137"/>
      <c r="D25" s="137"/>
      <c r="E25" s="137"/>
      <c r="F25" s="138"/>
      <c r="G25" s="76">
        <f>(G23+G24)*'Fane 15. Nøgletal'!C23</f>
        <v>455481.33467891073</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15889570.928523874</v>
      </c>
      <c r="H29" s="14" t="s">
        <v>3</v>
      </c>
      <c r="I29" s="1"/>
    </row>
    <row r="30" spans="1:9" x14ac:dyDescent="0.25">
      <c r="A30" s="1"/>
      <c r="B30" s="136" t="s">
        <v>139</v>
      </c>
      <c r="C30" s="137"/>
      <c r="D30" s="137"/>
      <c r="E30" s="137"/>
      <c r="F30" s="138"/>
      <c r="G30" s="76">
        <v>1678697.660619</v>
      </c>
      <c r="H30" s="14" t="s">
        <v>3</v>
      </c>
      <c r="I30" s="1"/>
    </row>
    <row r="31" spans="1:9" x14ac:dyDescent="0.25">
      <c r="A31" s="1"/>
      <c r="B31" s="136" t="s">
        <v>76</v>
      </c>
      <c r="C31" s="137"/>
      <c r="D31" s="137"/>
      <c r="E31" s="137"/>
      <c r="F31" s="138"/>
      <c r="G31" s="76">
        <f>G29*'Fane 15. Nøgletal'!C23+G30*'Fane 15. Nøgletal'!C24</f>
        <v>497428.00003710052</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17127174.363049824</v>
      </c>
      <c r="H35" s="14" t="s">
        <v>3</v>
      </c>
      <c r="I35" s="1"/>
    </row>
    <row r="36" spans="1:9" x14ac:dyDescent="0.25">
      <c r="A36" s="1"/>
      <c r="B36" s="136" t="s">
        <v>167</v>
      </c>
      <c r="C36" s="137"/>
      <c r="D36" s="137"/>
      <c r="E36" s="137"/>
      <c r="F36" s="138"/>
      <c r="G36" s="76">
        <v>544841.23015407007</v>
      </c>
      <c r="H36" s="14" t="s">
        <v>3</v>
      </c>
      <c r="I36" s="1"/>
    </row>
    <row r="37" spans="1:9" x14ac:dyDescent="0.25">
      <c r="A37" s="1"/>
      <c r="B37" s="136" t="s">
        <v>166</v>
      </c>
      <c r="C37" s="137"/>
      <c r="D37" s="137"/>
      <c r="E37" s="137"/>
      <c r="F37" s="138"/>
      <c r="G37" s="76">
        <f>(G35+G36)*'Fane 15. Nøgletal'!C25</f>
        <v>261545.83077941765</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17467924.312640477</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87812.554969440025</v>
      </c>
      <c r="H42" s="14" t="s">
        <v>3</v>
      </c>
      <c r="I42" s="1"/>
    </row>
    <row r="43" spans="1:9" x14ac:dyDescent="0.25">
      <c r="A43" s="1"/>
      <c r="B43" s="136" t="s">
        <v>168</v>
      </c>
      <c r="C43" s="137"/>
      <c r="D43" s="137"/>
      <c r="E43" s="137"/>
      <c r="F43" s="138"/>
      <c r="G43" s="76">
        <f>(G41)*'Fane 15. Nøgletal'!C25+G42*'Fane 15. Nøgletal'!C26</f>
        <v>258525.27982707907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17912992.320307907</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18550694.846910868</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19211099.583460897</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Q+FAtW8o0tgIzFR/AAMGq1BAycnGNnBSh59YlWicdcV/y2hfaetaNatuYJtnmUUgf6Qh/8Iw+Q8v4ve8UXFDqg==" saltValue="lVNYOqKq1lTnRyKlhbRx1g=="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0</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njxTmhy5szp7mRO86QfQjr6hZAj7Lau/XhnFlLrLD+UYO/WJKWAHKd7/ewFhSXMBGge4JjRtFYvc2bO8J0AdmQ==" saltValue="zpNTYM0oVl+FNz18bRSOq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2022-12-01T08:48:24Z</dcterms:modified>
</cp:coreProperties>
</file>