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Midtfyns Vandforsyning a.m.b.a. (V133)\ØR2025\"/>
    </mc:Choice>
  </mc:AlternateContent>
  <xr:revisionPtr revIDLastSave="0" documentId="13_ncr:1_{A1375355-962B-4182-9F1D-69B5AE5B033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7"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<sst xmlns="http://schemas.openxmlformats.org/spreadsheetml/2006/main" count="450" uniqueCount="207">
  <si>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</si>
  <si>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</si>
  <si>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</si>
  <si>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</si>
  <si>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</si>
  <si>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</si>
  <si>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</si>
  <si>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</si>
  <si>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</si>
  <si>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</si>
  <si>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</si>
  <si>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</si>
  <si>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</si>
  <si>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</si>
  <si>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</si>
  <si>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</si>
  <si>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</si>
  <si>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</si>
  <si>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</si>
  <si>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</si>
  <si>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</si>
  <si>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</si>
  <si>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</si>
  <si>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</si>
  <si>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</si>
  <si>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</si>
  <si>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</si>
  <si>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</si>
  <si>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</si>
  <si>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</si>
  <si>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</si>
  <si>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</si>
  <si>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</si>
  <si>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</si>
  <si>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</si>
  <si>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</si>
  <si>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</si>
  <si>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</si>
  <si>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</si>
  <si>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</si>
  <si>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</si>
  <si>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</si>
  <si>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</si>
  <si>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</si>
  <si>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</si>
  <si>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</si>
  <si>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</si>
  <si>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</si>
  <si>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</si>
  <si>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</si>
  <si>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</si>
  <si>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</si>
  <si>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</si>
  <si>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</si>
  <si>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</si>
  <si>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</si>
  <si>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</si>
  <si>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</si>
  <si>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</si>
  <si>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</si>
  <si>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</si>
  <si>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</si>
  <si>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</si>
  <si>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</si>
  <si>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</si>
  <si>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</si>
  <si>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</si>
  <si>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</si>
  <si>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</si>
  <si>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</si>
  <si>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</si>
  <si>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</si>
  <si>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</si>
  <si>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</si>
  <si>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</si>
  <si>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</si>
  <si>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</si>
  <si>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</si>
  <si>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</si>
  <si>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</si>
  <si>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</si>
  <si>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</si>
  <si>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</si>
  <si>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</si>
  <si>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</si>
  <si>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</si>
  <si>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</si>
  <si>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</si>
  <si>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</si>
  <si>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</si>
  <si>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</si>
  <si>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</si>
  <si>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</si>
  <si>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</si>
  <si>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</si>
  <si>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</si>
  <si>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</si>
  <si>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</si>
  <si>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</si>
  <si>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</si>
  <si>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</si>
  <si>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</si>
  <si>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</si>
  <si>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</si>
  <si>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</si>
  <si>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</si>
  <si>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</si>
  <si>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</si>
  <si>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</si>
  <si>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</si>
  <si>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</si>
  <si>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</si>
  <si>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</si>
  <si>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</si>
  <si>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</si>
  <si>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</si>
  <si>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</si>
  <si>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</si>
  <si>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</si>
  <si>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</si>
  <si>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</si>
  <si>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</si>
  <si>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</si>
  <si>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</si>
  <si>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</si>
  <si>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</si>
  <si>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</si>
  <si>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</si>
  <si>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</si>
  <si>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</si>
  <si>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</si>
  <si>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</si>
  <si>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</si>
  <si>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</si>
  <si>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</si>
  <si>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</si>
  <si>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</si>
  <si>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</si>
  <si>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</si>
  <si>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</si>
  <si>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</si>
  <si>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</si>
  <si>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</si>
  <si>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</si>
  <si>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</si>
  <si>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</si>
  <si>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</si>
  <si>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</si>
  <si>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</si>
  <si>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</si>
  <si>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</si>
  <si>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</si>
  <si>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</si>
  <si>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</si>
  <si>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</si>
  <si>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</si>
  <si>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</si>
  <si>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</si>
  <si>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</si>
  <si>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</si>
  <si>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</si>
  <si>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</si>
  <si>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</si>
  <si>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</si>
  <si>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</si>
  <si>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</si>
  <si>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</si>
  <si>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</si>
  <si>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</si>
  <si>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</si>
  <si>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</si>
  <si>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</si>
  <si>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</si>
  <si>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</si>
  <si>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</si>
  <si>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</si>
  <si>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</si>
  <si>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</si>
  <si>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</si>
  <si>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</si>
  <si>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</si>
  <si>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</si>
  <si>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</si>
  <si>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</si>
  <si>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</si>
  <si>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</si>
  <si>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</si>
  <si>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</si>
  <si>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</si>
  <si>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</si>
  <si>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</si>
  <si>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</si>
  <si>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</si>
  <si>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</si>
  <si>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</si>
  <si>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</si>
  <si>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Selskabsskat</t>
  </si>
  <si>
    <t>Ejendomsskatter</t>
  </si>
  <si>
    <t>Erstatninger</t>
  </si>
  <si>
    <t>Frivillige aftaler om dyrkningspraksis eller andre restriktioner i arealanvendelse. Køb af Boltingevej 17. 4.250.000 kr./25 = 170.000 kr. i ØR25 til ØR49</t>
  </si>
  <si>
    <t>Fradrag i den økonomiske ramme for 2029</t>
  </si>
  <si>
    <t>Fradrag i den økonomiske ramme for 2030</t>
  </si>
  <si>
    <t>Kildepladser</t>
  </si>
  <si>
    <t>Udvidelse Årslev Vandværk</t>
  </si>
  <si>
    <t>Forlægning Stationsvej</t>
  </si>
  <si>
    <t>Udvidelse af forsyningsområde</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</si>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</sst>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3" fontId="8" fillId="8" borderId="1" xfId="0" applyNumberFormat="1" applyFont="1" applyFill="1" applyBorder="1" applyAlignment="1" applyProtection="1">
      <alignment horizontal="righ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9" t="s">
        <v>4</v>
      </c>
      <c r="D6" s="89"/>
      <c r="E6" s="89"/>
      <c r="F6" s="89"/>
      <c r="G6" s="1"/>
    </row>
    <row r="7" spans="1:7" ht="15" customHeight="1" x14ac:dyDescent="0.25">
      <c r="A7" s="1"/>
      <c r="B7" s="3"/>
      <c r="C7" s="89"/>
      <c r="D7" s="89"/>
      <c r="E7" s="89"/>
      <c r="F7" s="89"/>
      <c r="G7" s="1"/>
    </row>
    <row r="8" spans="1:7" ht="15.75" x14ac:dyDescent="0.25">
      <c r="A8" s="1"/>
      <c r="B8" s="4"/>
      <c r="C8" s="91" t="s">
        <v>193</v>
      </c>
      <c r="D8" s="91"/>
      <c r="E8" s="91"/>
      <c r="F8" s="91"/>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90" t="s">
        <v>5</v>
      </c>
      <c r="D11" s="90"/>
      <c r="E11" s="90"/>
      <c r="F11" s="90"/>
      <c r="G11" s="1"/>
    </row>
    <row r="12" spans="1:7" x14ac:dyDescent="0.25">
      <c r="A12" s="1"/>
      <c r="B12" s="1"/>
      <c r="C12" s="1"/>
      <c r="D12" s="1"/>
      <c r="E12" s="1"/>
      <c r="F12" s="1"/>
      <c r="G12" s="1"/>
    </row>
    <row r="13" spans="1:7" x14ac:dyDescent="0.25">
      <c r="A13" s="1"/>
      <c r="B13" s="6" t="s">
        <v>6</v>
      </c>
      <c r="C13" s="86" t="s">
        <v>121</v>
      </c>
      <c r="D13" s="87"/>
      <c r="E13" s="87"/>
      <c r="F13" s="88"/>
      <c r="G13" s="1"/>
    </row>
    <row r="14" spans="1:7" x14ac:dyDescent="0.25">
      <c r="A14" s="1"/>
      <c r="B14" s="6" t="s">
        <v>14</v>
      </c>
      <c r="C14" s="86" t="s">
        <v>156</v>
      </c>
      <c r="D14" s="87"/>
      <c r="E14" s="87"/>
      <c r="F14" s="88"/>
      <c r="G14" s="1"/>
    </row>
    <row r="15" spans="1:7" x14ac:dyDescent="0.25">
      <c r="A15" s="1"/>
      <c r="B15" s="6" t="s">
        <v>29</v>
      </c>
      <c r="C15" s="86" t="s">
        <v>104</v>
      </c>
      <c r="D15" s="87"/>
      <c r="E15" s="87"/>
      <c r="F15" s="88"/>
      <c r="G15" s="1"/>
    </row>
    <row r="16" spans="1:7" x14ac:dyDescent="0.25">
      <c r="A16" s="1"/>
      <c r="B16" s="6" t="s">
        <v>30</v>
      </c>
      <c r="C16" s="86" t="s">
        <v>122</v>
      </c>
      <c r="D16" s="87"/>
      <c r="E16" s="87"/>
      <c r="F16" s="88"/>
      <c r="G16" s="1"/>
    </row>
    <row r="17" spans="1:7" x14ac:dyDescent="0.25">
      <c r="A17" s="1"/>
      <c r="B17" s="6" t="s">
        <v>57</v>
      </c>
      <c r="C17" s="86" t="s">
        <v>123</v>
      </c>
      <c r="D17" s="87"/>
      <c r="E17" s="87"/>
      <c r="F17" s="88"/>
      <c r="G17" s="1"/>
    </row>
    <row r="18" spans="1:7" x14ac:dyDescent="0.25">
      <c r="A18" s="1"/>
      <c r="B18" s="6" t="s">
        <v>49</v>
      </c>
      <c r="C18" s="92" t="s">
        <v>42</v>
      </c>
      <c r="D18" s="93"/>
      <c r="E18" s="93"/>
      <c r="F18" s="94"/>
      <c r="G18" s="1"/>
    </row>
    <row r="19" spans="1:7" x14ac:dyDescent="0.25">
      <c r="A19" s="1"/>
      <c r="B19" s="6" t="s">
        <v>50</v>
      </c>
      <c r="C19" s="92" t="s">
        <v>43</v>
      </c>
      <c r="D19" s="93"/>
      <c r="E19" s="93"/>
      <c r="F19" s="94"/>
      <c r="G19" s="1"/>
    </row>
    <row r="20" spans="1:7" x14ac:dyDescent="0.25">
      <c r="A20" s="1"/>
      <c r="B20" s="6" t="s">
        <v>7</v>
      </c>
      <c r="C20" s="92" t="s">
        <v>9</v>
      </c>
      <c r="D20" s="93"/>
      <c r="E20" s="93"/>
      <c r="F20" s="94"/>
      <c r="G20" s="1"/>
    </row>
    <row r="21" spans="1:7" x14ac:dyDescent="0.25">
      <c r="A21" s="1"/>
      <c r="B21" s="6" t="s">
        <v>51</v>
      </c>
      <c r="C21" s="83" t="s">
        <v>11</v>
      </c>
      <c r="D21" s="84"/>
      <c r="E21" s="84"/>
      <c r="F21" s="85"/>
      <c r="G21" s="1"/>
    </row>
    <row r="22" spans="1:7" x14ac:dyDescent="0.25">
      <c r="A22" s="1"/>
      <c r="B22" s="6" t="s">
        <v>37</v>
      </c>
      <c r="C22" s="77" t="s">
        <v>124</v>
      </c>
      <c r="D22" s="78"/>
      <c r="E22" s="78"/>
      <c r="F22" s="79"/>
      <c r="G22" s="1"/>
    </row>
    <row r="23" spans="1:7" x14ac:dyDescent="0.25">
      <c r="A23" s="1"/>
      <c r="B23" s="6" t="s">
        <v>8</v>
      </c>
      <c r="C23" s="77" t="s">
        <v>89</v>
      </c>
      <c r="D23" s="78"/>
      <c r="E23" s="78"/>
      <c r="F23" s="79"/>
      <c r="G23" s="1"/>
    </row>
    <row r="24" spans="1:7" x14ac:dyDescent="0.25">
      <c r="A24" s="1"/>
      <c r="B24" s="6" t="s">
        <v>85</v>
      </c>
      <c r="C24" s="77" t="s">
        <v>78</v>
      </c>
      <c r="D24" s="78"/>
      <c r="E24" s="78"/>
      <c r="F24" s="79"/>
      <c r="G24" s="1"/>
    </row>
    <row r="25" spans="1:7" x14ac:dyDescent="0.25">
      <c r="A25" s="1"/>
      <c r="B25" s="6" t="s">
        <v>86</v>
      </c>
      <c r="C25" s="77" t="s">
        <v>38</v>
      </c>
      <c r="D25" s="78"/>
      <c r="E25" s="78"/>
      <c r="F25" s="79"/>
      <c r="G25" s="1"/>
    </row>
    <row r="26" spans="1:7" x14ac:dyDescent="0.25">
      <c r="A26" s="1"/>
      <c r="B26" s="6" t="s">
        <v>87</v>
      </c>
      <c r="C26" s="77" t="s">
        <v>39</v>
      </c>
      <c r="D26" s="78"/>
      <c r="E26" s="78"/>
      <c r="F26" s="79"/>
      <c r="G26" s="1"/>
    </row>
    <row r="27" spans="1:7" x14ac:dyDescent="0.25">
      <c r="A27" s="1"/>
      <c r="B27" s="6" t="s">
        <v>52</v>
      </c>
      <c r="C27" s="77" t="s">
        <v>58</v>
      </c>
      <c r="D27" s="78"/>
      <c r="E27" s="78"/>
      <c r="F27" s="79"/>
      <c r="G27" s="1"/>
    </row>
    <row r="28" spans="1:7" x14ac:dyDescent="0.25">
      <c r="A28" s="1"/>
      <c r="B28" s="6" t="s">
        <v>46</v>
      </c>
      <c r="C28" s="77" t="s">
        <v>31</v>
      </c>
      <c r="D28" s="78"/>
      <c r="E28" s="78"/>
      <c r="F28" s="79"/>
      <c r="G28" s="1"/>
    </row>
    <row r="29" spans="1:7" x14ac:dyDescent="0.25">
      <c r="A29" s="1"/>
      <c r="B29" s="6" t="s">
        <v>88</v>
      </c>
      <c r="C29" s="80" t="s">
        <v>47</v>
      </c>
      <c r="D29" s="81"/>
      <c r="E29" s="81"/>
      <c r="F29" s="8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92im2tyw/7hfXfqXvc2N2TandDICfnQzeUY5JND8Ut/PhJfLgriPzz0WBZ1itw4FFYFi5/dRrqbm+zbL5p9yoA==" saltValue="70THT0YnbqtmUBc7ZOt0P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139</v>
      </c>
      <c r="C8" s="100"/>
      <c r="D8" s="101"/>
      <c r="E8" s="1"/>
    </row>
    <row r="9" spans="1:5" ht="15" customHeight="1" x14ac:dyDescent="0.25">
      <c r="A9" s="1"/>
      <c r="B9" s="51" t="s">
        <v>27</v>
      </c>
      <c r="C9" s="45" t="s">
        <v>142</v>
      </c>
      <c r="D9" s="11"/>
      <c r="E9" s="1"/>
    </row>
    <row r="10" spans="1:5" ht="15" customHeight="1" x14ac:dyDescent="0.25">
      <c r="A10" s="1"/>
      <c r="B10" s="64" t="s">
        <v>194</v>
      </c>
      <c r="C10" s="65">
        <v>11306915</v>
      </c>
      <c r="D10" s="14" t="s">
        <v>3</v>
      </c>
      <c r="E10" s="1"/>
    </row>
    <row r="11" spans="1:5" x14ac:dyDescent="0.25">
      <c r="A11" s="1"/>
      <c r="B11" s="64" t="s">
        <v>195</v>
      </c>
      <c r="C11" s="65">
        <v>78680</v>
      </c>
      <c r="D11" s="14" t="s">
        <v>3</v>
      </c>
      <c r="E11" s="1"/>
    </row>
    <row r="12" spans="1:5" x14ac:dyDescent="0.25">
      <c r="A12" s="1"/>
      <c r="B12" s="64" t="s">
        <v>196</v>
      </c>
      <c r="C12" s="65">
        <v>1594193</v>
      </c>
      <c r="D12" s="14" t="s">
        <v>3</v>
      </c>
      <c r="E12" s="1"/>
    </row>
    <row r="13" spans="1:5" x14ac:dyDescent="0.25">
      <c r="A13" s="1"/>
      <c r="B13" s="64" t="s">
        <v>197</v>
      </c>
      <c r="C13" s="65">
        <v>59183</v>
      </c>
      <c r="D13" s="14" t="s">
        <v>3</v>
      </c>
      <c r="E13" s="1"/>
    </row>
    <row r="14" spans="1:5" x14ac:dyDescent="0.25">
      <c r="A14" s="1"/>
      <c r="B14" s="64" t="s">
        <v>198</v>
      </c>
      <c r="C14" s="65">
        <v>64613</v>
      </c>
      <c r="D14" s="14" t="s">
        <v>3</v>
      </c>
      <c r="E14" s="1"/>
    </row>
    <row r="15" spans="1:5" ht="38.25" x14ac:dyDescent="0.25">
      <c r="A15" s="1"/>
      <c r="B15" s="64" t="s">
        <v>199</v>
      </c>
      <c r="C15" s="67">
        <v>170000</v>
      </c>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140</v>
      </c>
      <c r="C19" s="12">
        <f>SUM(C10:C18)</f>
        <v>13273584</v>
      </c>
      <c r="D19" s="13" t="s">
        <v>3</v>
      </c>
      <c r="E19" s="1"/>
    </row>
    <row r="20" spans="1:5" x14ac:dyDescent="0.25">
      <c r="A20" s="1"/>
      <c r="B20" s="52" t="s">
        <v>141</v>
      </c>
      <c r="C20" s="12">
        <f>C19*(1+'Fane 13. Nøgletal'!C11)^2</f>
        <v>15092007.79885296</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7y2yNgUv5ANSPTEb8MMzV+bihgAnsb0+IfHBEQDOezQ66TvQ7z2JjpzUT7HT3smUDZZpu9Dvpx6aMBarW2aSDw==" saltValue="B2mo6ibCvSoMJYcK/S4+G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7" t="s">
        <v>169</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9"/>
      <c r="C6" s="69"/>
      <c r="D6" s="69"/>
      <c r="E6" s="1"/>
    </row>
    <row r="7" spans="1:5" x14ac:dyDescent="0.25">
      <c r="A7" s="1"/>
      <c r="B7" s="1"/>
      <c r="C7" s="1"/>
      <c r="D7" s="1"/>
      <c r="E7" s="1"/>
    </row>
    <row r="8" spans="1:5" x14ac:dyDescent="0.25">
      <c r="A8" s="1"/>
      <c r="B8" s="99" t="s">
        <v>172</v>
      </c>
      <c r="C8" s="100"/>
      <c r="D8" s="101"/>
      <c r="E8" s="1"/>
    </row>
    <row r="9" spans="1:5" x14ac:dyDescent="0.25">
      <c r="A9" s="1"/>
      <c r="B9" s="56" t="s">
        <v>173</v>
      </c>
      <c r="C9" s="9">
        <v>431581.06528962404</v>
      </c>
      <c r="D9" s="39" t="s">
        <v>3</v>
      </c>
      <c r="E9" s="1"/>
    </row>
    <row r="10" spans="1:5" x14ac:dyDescent="0.25">
      <c r="A10" s="1"/>
      <c r="B10" s="56" t="s">
        <v>171</v>
      </c>
      <c r="C10" s="9">
        <v>1471683.2641111836</v>
      </c>
      <c r="D10" s="14" t="s">
        <v>3</v>
      </c>
      <c r="E10" s="1"/>
    </row>
    <row r="11" spans="1:5" x14ac:dyDescent="0.25">
      <c r="A11" s="1"/>
      <c r="B11" s="52"/>
      <c r="C11" s="53"/>
      <c r="D11" s="19"/>
      <c r="E11" s="1"/>
    </row>
    <row r="12" spans="1:5" ht="53.85" customHeight="1" x14ac:dyDescent="0.25">
      <c r="A12" s="1"/>
      <c r="B12" s="108" t="s">
        <v>170</v>
      </c>
      <c r="C12" s="109"/>
      <c r="D12" s="110"/>
      <c r="E12" s="1"/>
    </row>
    <row r="13" spans="1:5" x14ac:dyDescent="0.25">
      <c r="A13" s="1"/>
      <c r="B13" s="1"/>
      <c r="C13" s="1"/>
      <c r="D13" s="1"/>
      <c r="E13" s="1"/>
    </row>
    <row r="14" spans="1:5" x14ac:dyDescent="0.25">
      <c r="A14" s="1"/>
      <c r="B14" s="70" t="s">
        <v>174</v>
      </c>
      <c r="C14" s="71"/>
      <c r="D14" s="72"/>
      <c r="E14" s="1"/>
    </row>
    <row r="15" spans="1:5" x14ac:dyDescent="0.25">
      <c r="A15" s="1"/>
      <c r="B15" s="56" t="s">
        <v>175</v>
      </c>
      <c r="C15" s="9">
        <f>IF(C10&lt;0,C10,0)</f>
        <v>0</v>
      </c>
      <c r="D15" s="14" t="s">
        <v>3</v>
      </c>
      <c r="E15" s="1"/>
    </row>
    <row r="16" spans="1:5" x14ac:dyDescent="0.25">
      <c r="A16" s="1"/>
      <c r="B16" s="56" t="s">
        <v>182</v>
      </c>
      <c r="C16" s="9">
        <f>IF(SUM(C9)&gt;0,SUM(C9),0)</f>
        <v>431581.06528962404</v>
      </c>
      <c r="D16" s="14" t="s">
        <v>3</v>
      </c>
      <c r="E16" s="1"/>
    </row>
    <row r="17" spans="1:5" ht="26.25" x14ac:dyDescent="0.25">
      <c r="A17" s="1"/>
      <c r="B17" s="73" t="s">
        <v>176</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70" t="s">
        <v>177</v>
      </c>
      <c r="C20" s="71"/>
      <c r="D20" s="72"/>
      <c r="E20" s="1"/>
    </row>
    <row r="21" spans="1:5" x14ac:dyDescent="0.25">
      <c r="A21" s="1"/>
      <c r="B21" s="56" t="s">
        <v>178</v>
      </c>
      <c r="C21" s="9">
        <v>28775626.740008332</v>
      </c>
      <c r="D21" s="14" t="s">
        <v>3</v>
      </c>
      <c r="E21" s="1"/>
    </row>
    <row r="22" spans="1:5" x14ac:dyDescent="0.25">
      <c r="A22" s="1"/>
      <c r="B22" s="56" t="s">
        <v>179</v>
      </c>
      <c r="C22" s="9">
        <v>26903906</v>
      </c>
      <c r="D22" s="14" t="s">
        <v>3</v>
      </c>
      <c r="E22" s="1"/>
    </row>
    <row r="23" spans="1:5" x14ac:dyDescent="0.25">
      <c r="A23" s="1"/>
      <c r="B23" s="56" t="s">
        <v>28</v>
      </c>
      <c r="C23" s="9">
        <v>-100000</v>
      </c>
      <c r="D23" s="14" t="s">
        <v>3</v>
      </c>
      <c r="E23" s="1"/>
    </row>
    <row r="24" spans="1:5" x14ac:dyDescent="0.25">
      <c r="A24" s="1"/>
      <c r="B24" s="75" t="s">
        <v>180</v>
      </c>
      <c r="C24" s="46">
        <f>C21-C22-C23</f>
        <v>1971720.7400083318</v>
      </c>
      <c r="D24" s="17" t="s">
        <v>3</v>
      </c>
      <c r="E24" s="1"/>
    </row>
    <row r="25" spans="1:5" x14ac:dyDescent="0.25">
      <c r="A25" s="1"/>
      <c r="B25" s="52"/>
      <c r="C25" s="53"/>
      <c r="D25" s="19"/>
      <c r="E25" s="1"/>
    </row>
    <row r="26" spans="1:5" x14ac:dyDescent="0.25">
      <c r="A26" s="1"/>
      <c r="B26" s="1"/>
      <c r="C26" s="1"/>
      <c r="D26" s="1"/>
      <c r="E26" s="1"/>
    </row>
    <row r="27" spans="1:5" x14ac:dyDescent="0.25">
      <c r="A27" s="1"/>
      <c r="B27" s="99" t="s">
        <v>181</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z8CQokY5nDDzSv0hBFIks0hgGYlIyMhtJwfKfBif3qGsGrPIIsJVnzS7ac9BJqEsm/vTQ5CoXerXslMOoHKUew==" saltValue="RjfnEMNa2NlmZiYQpdoJv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3"/>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7" t="s">
        <v>96</v>
      </c>
      <c r="C3" s="97"/>
      <c r="D3" s="97"/>
      <c r="E3" s="1"/>
    </row>
    <row r="4" spans="1:5" ht="15" customHeight="1" x14ac:dyDescent="0.25">
      <c r="A4" s="1"/>
      <c r="B4" s="97"/>
      <c r="C4" s="97"/>
      <c r="D4" s="97"/>
      <c r="E4" s="1"/>
    </row>
    <row r="5" spans="1:5" x14ac:dyDescent="0.25">
      <c r="A5" s="1"/>
      <c r="B5" s="97"/>
      <c r="C5" s="97"/>
      <c r="D5" s="97"/>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120</v>
      </c>
      <c r="C9" s="115"/>
      <c r="D9" s="116"/>
      <c r="E9" s="1"/>
    </row>
    <row r="10" spans="1:5" x14ac:dyDescent="0.25">
      <c r="A10" s="1"/>
      <c r="B10" s="59" t="s">
        <v>98</v>
      </c>
      <c r="C10" s="9">
        <v>0</v>
      </c>
      <c r="D10" s="9" t="s">
        <v>3</v>
      </c>
      <c r="E10" s="1"/>
    </row>
    <row r="11" spans="1:5" x14ac:dyDescent="0.25">
      <c r="A11" s="1"/>
      <c r="B11" s="59" t="s">
        <v>99</v>
      </c>
      <c r="C11" s="9">
        <v>-367891.83333333302</v>
      </c>
      <c r="D11" s="9" t="s">
        <v>3</v>
      </c>
      <c r="E11" s="1"/>
    </row>
    <row r="12" spans="1:5" x14ac:dyDescent="0.25">
      <c r="A12" s="1"/>
      <c r="B12" s="59" t="s">
        <v>100</v>
      </c>
      <c r="C12" s="9">
        <v>-367891.83333333302</v>
      </c>
      <c r="D12" s="9" t="s">
        <v>3</v>
      </c>
      <c r="E12" s="1"/>
    </row>
    <row r="13" spans="1:5" x14ac:dyDescent="0.25">
      <c r="A13" s="1"/>
      <c r="B13" s="59" t="s">
        <v>101</v>
      </c>
      <c r="C13" s="9">
        <v>-367891.83333333302</v>
      </c>
      <c r="D13" s="9" t="s">
        <v>3</v>
      </c>
      <c r="E13" s="1"/>
    </row>
    <row r="14" spans="1:5" x14ac:dyDescent="0.25">
      <c r="A14" s="1"/>
      <c r="B14" s="59" t="s">
        <v>102</v>
      </c>
      <c r="C14" s="9">
        <v>-367891.83333333302</v>
      </c>
      <c r="D14" s="9" t="s">
        <v>3</v>
      </c>
      <c r="E14" s="1"/>
    </row>
    <row r="15" spans="1:5" x14ac:dyDescent="0.25">
      <c r="A15" s="1"/>
      <c r="B15" s="59" t="s">
        <v>200</v>
      </c>
      <c r="C15" s="9">
        <v>-367891.83333333302</v>
      </c>
      <c r="D15" s="9" t="s">
        <v>3</v>
      </c>
      <c r="E15" s="1"/>
    </row>
    <row r="16" spans="1:5" x14ac:dyDescent="0.25">
      <c r="A16" s="1"/>
      <c r="B16" s="59" t="s">
        <v>201</v>
      </c>
      <c r="C16" s="9">
        <v>-367891.83333333302</v>
      </c>
      <c r="D16" s="9" t="s">
        <v>3</v>
      </c>
      <c r="E16" s="1"/>
    </row>
    <row r="17" spans="1:5" x14ac:dyDescent="0.25">
      <c r="A17" s="1"/>
      <c r="B17" s="70" t="s">
        <v>103</v>
      </c>
      <c r="C17" s="12">
        <f>SUM(C10:C14)</f>
        <v>-1471567.3333333321</v>
      </c>
      <c r="D17" s="13"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row r="53" spans="1:5" hidden="1" x14ac:dyDescent="0.25"/>
  </sheetData>
  <sheetProtection algorithmName="SHA-512" hashValue="KpV2QLPK1gwQ6EQAKPVYHnq0jmA++qR70T3Um54bDc+6lKJKGsznftWwfRmtaIKXMAl91GenrnP+xTnYCzubIQ==" saltValue="eH4xJN7w7Vmx7I6jyHlBc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189</v>
      </c>
      <c r="C10" s="48">
        <v>0</v>
      </c>
      <c r="D10" s="9">
        <v>0</v>
      </c>
      <c r="E10" s="14" t="s">
        <v>3</v>
      </c>
      <c r="F10" s="61">
        <f>IFERROR(D10/C10,0)</f>
        <v>0</v>
      </c>
      <c r="G10" s="14" t="s">
        <v>3</v>
      </c>
      <c r="H10" s="9">
        <v>0</v>
      </c>
      <c r="I10" s="14" t="s">
        <v>3</v>
      </c>
      <c r="J10" s="9">
        <v>0</v>
      </c>
      <c r="K10" s="14" t="s">
        <v>3</v>
      </c>
      <c r="L10" s="1"/>
    </row>
    <row r="11" spans="1:12" x14ac:dyDescent="0.25">
      <c r="A11" s="1"/>
      <c r="B11" s="52" t="s">
        <v>143</v>
      </c>
      <c r="C11" s="53"/>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BgJ0oS/JlKsnnOetjYXGIud27YDnAr04zZew5m6wmLdtHFwzog8Uh8DzOaPUN8gzegEvt4bDh4RPD7NkbBBO0g==" saltValue="vaYLf8j8FRg02Ld2y5aY0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3" t="s">
        <v>15</v>
      </c>
      <c r="C9" s="75" t="s">
        <v>10</v>
      </c>
      <c r="D9" s="74"/>
      <c r="E9" s="75"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237844</v>
      </c>
      <c r="F11" s="14" t="s">
        <v>3</v>
      </c>
      <c r="G11" s="1"/>
    </row>
    <row r="12" spans="1:7" x14ac:dyDescent="0.25">
      <c r="A12" s="1"/>
      <c r="B12" s="26" t="s">
        <v>203</v>
      </c>
      <c r="C12" s="21">
        <v>0</v>
      </c>
      <c r="D12" s="14" t="s">
        <v>3</v>
      </c>
      <c r="E12" s="9">
        <v>161218</v>
      </c>
      <c r="F12" s="14" t="s">
        <v>3</v>
      </c>
      <c r="G12" s="1"/>
    </row>
    <row r="13" spans="1:7" x14ac:dyDescent="0.25">
      <c r="A13" s="1"/>
      <c r="B13" s="26" t="s">
        <v>204</v>
      </c>
      <c r="C13" s="21">
        <v>0</v>
      </c>
      <c r="D13" s="14" t="s">
        <v>3</v>
      </c>
      <c r="E13" s="9">
        <v>2189</v>
      </c>
      <c r="F13" s="14" t="s">
        <v>3</v>
      </c>
      <c r="G13" s="1"/>
    </row>
    <row r="14" spans="1:7" x14ac:dyDescent="0.25">
      <c r="A14" s="1"/>
      <c r="B14" s="26" t="s">
        <v>205</v>
      </c>
      <c r="C14" s="21">
        <v>69167</v>
      </c>
      <c r="D14" s="14" t="s">
        <v>3</v>
      </c>
      <c r="E14" s="9">
        <v>15963</v>
      </c>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109</v>
      </c>
      <c r="C17" s="12">
        <f>SUM(C10:C16)</f>
        <v>69167</v>
      </c>
      <c r="D17" s="13" t="s">
        <v>3</v>
      </c>
      <c r="E17" s="12">
        <f>SUM(E10:E16)</f>
        <v>417214</v>
      </c>
      <c r="F17" s="13" t="s">
        <v>3</v>
      </c>
      <c r="G17" s="1"/>
    </row>
    <row r="18" spans="1:7" x14ac:dyDescent="0.25">
      <c r="A18" s="1"/>
      <c r="B18" s="52" t="s">
        <v>144</v>
      </c>
      <c r="C18" s="12">
        <f>C17*(1+'Fane 13. Nøgletal'!C11)</f>
        <v>73752.772100000002</v>
      </c>
      <c r="D18" s="13" t="s">
        <v>3</v>
      </c>
      <c r="E18" s="12">
        <f>E17*(1+'Fane 13. Nøgletal'!C11)</f>
        <v>444875.28820000001</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xUkU223wkEcUyNReUA3TMaubCFDwu5/zphTXRQGtDSB0HpuV1ZGLsbfQ9NJvGK9JDBq5s4eGlX1krzy8kO1lcQ==" saltValue="m0mJZKiOQ90D13H/975vr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147</v>
      </c>
      <c r="C8" s="100"/>
      <c r="D8" s="100"/>
      <c r="E8" s="100"/>
      <c r="F8" s="101"/>
      <c r="G8" s="1"/>
    </row>
    <row r="9" spans="1:7" x14ac:dyDescent="0.25">
      <c r="A9" s="1"/>
      <c r="B9" s="73" t="s">
        <v>15</v>
      </c>
      <c r="C9" s="75" t="s">
        <v>10</v>
      </c>
      <c r="D9" s="76"/>
      <c r="E9" s="75" t="s">
        <v>26</v>
      </c>
      <c r="F9" s="27"/>
      <c r="G9" s="1"/>
    </row>
    <row r="10" spans="1:7" x14ac:dyDescent="0.25">
      <c r="A10" s="1"/>
      <c r="B10" s="23" t="s">
        <v>206</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145</v>
      </c>
      <c r="C13" s="12">
        <f>SUM(C10:C12)</f>
        <v>0</v>
      </c>
      <c r="D13" s="13" t="s">
        <v>3</v>
      </c>
      <c r="E13" s="12">
        <f>SUM(E10:E12)</f>
        <v>0</v>
      </c>
      <c r="F13" s="13" t="s">
        <v>3</v>
      </c>
      <c r="G13" s="1"/>
    </row>
    <row r="14" spans="1:7" x14ac:dyDescent="0.25">
      <c r="A14" s="1"/>
      <c r="B14" s="52" t="s">
        <v>146</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o1/tSOVNsZ8ol+EcucVicuhJoNCRRuBHKm22nbKhySTsyHW354QF7WSeejPJquIT7AWShvU1m5Irdz2cVgq4w==" saltValue="Cp86r8o+BJ/JT781MMmse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93</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4" t="s">
        <v>60</v>
      </c>
      <c r="C9" s="119" t="s">
        <v>10</v>
      </c>
      <c r="D9" s="120"/>
      <c r="E9" s="119" t="s">
        <v>26</v>
      </c>
      <c r="F9" s="120"/>
      <c r="G9" s="1"/>
    </row>
    <row r="10" spans="1:7" ht="26.25" x14ac:dyDescent="0.25">
      <c r="A10" s="1"/>
      <c r="B10" s="60" t="s">
        <v>187</v>
      </c>
      <c r="C10" s="9">
        <v>0</v>
      </c>
      <c r="D10" s="14" t="s">
        <v>3</v>
      </c>
      <c r="E10" s="9">
        <v>0</v>
      </c>
      <c r="F10" s="14" t="s">
        <v>3</v>
      </c>
      <c r="G10" s="1"/>
    </row>
    <row r="11" spans="1:7" ht="28.5" customHeight="1" x14ac:dyDescent="0.25">
      <c r="A11" s="1"/>
      <c r="B11" s="20" t="s">
        <v>112</v>
      </c>
      <c r="C11" s="12">
        <f>SUM(C10:C10)</f>
        <v>0</v>
      </c>
      <c r="D11" s="13" t="s">
        <v>3</v>
      </c>
      <c r="E11" s="12">
        <f>SUM(E10:E10)</f>
        <v>0</v>
      </c>
      <c r="F11" s="13" t="s">
        <v>3</v>
      </c>
      <c r="G11" s="1"/>
    </row>
    <row r="12" spans="1:7" ht="27" customHeight="1" x14ac:dyDescent="0.25">
      <c r="A12" s="1"/>
      <c r="B12" s="20" t="s">
        <v>148</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9zIXGB2QvKMSKUPLjCgTnJw8Lb8Lm/eLTNK+Q/53h+YRHArjXvLjzoDc7OaLHkNONX0ESwoBXEk5QJaPJrLJLQ==" saltValue="ch1y3wRgvo07SuzynJ7fQ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94</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149</v>
      </c>
      <c r="C8" s="100"/>
      <c r="D8" s="100"/>
      <c r="E8" s="100"/>
      <c r="F8" s="101"/>
      <c r="G8" s="1"/>
    </row>
    <row r="9" spans="1:7" x14ac:dyDescent="0.25">
      <c r="A9" s="1"/>
      <c r="B9" s="54" t="s">
        <v>16</v>
      </c>
      <c r="C9" s="51" t="s">
        <v>10</v>
      </c>
      <c r="D9" s="27"/>
      <c r="E9" s="51" t="s">
        <v>26</v>
      </c>
      <c r="F9" s="27"/>
      <c r="G9" s="1"/>
    </row>
    <row r="10" spans="1:7" x14ac:dyDescent="0.25">
      <c r="A10" s="1"/>
      <c r="B10" s="60" t="s">
        <v>188</v>
      </c>
      <c r="C10" s="9">
        <v>0</v>
      </c>
      <c r="D10" s="14" t="s">
        <v>3</v>
      </c>
      <c r="E10" s="9">
        <v>0</v>
      </c>
      <c r="F10" s="14" t="s">
        <v>3</v>
      </c>
      <c r="G10" s="1"/>
    </row>
    <row r="11" spans="1:7" x14ac:dyDescent="0.25">
      <c r="A11" s="1"/>
      <c r="B11" s="52" t="s">
        <v>119</v>
      </c>
      <c r="C11" s="12">
        <f>SUM(C10:C10)</f>
        <v>0</v>
      </c>
      <c r="D11" s="13" t="s">
        <v>3</v>
      </c>
      <c r="E11" s="12">
        <f>SUM(E10:E10)</f>
        <v>0</v>
      </c>
      <c r="F11" s="13" t="s">
        <v>3</v>
      </c>
      <c r="G11" s="1"/>
    </row>
    <row r="12" spans="1:7" x14ac:dyDescent="0.25">
      <c r="A12" s="1"/>
      <c r="B12" s="52" t="s">
        <v>186</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Qr1n/92179Lhz5vDUfmxWmFGkZZBiu2UYkJUz4IrMzvM3BNctkkBJuZ0nsEg29AU7tMJX8WOGPMJG9RIzsaBQ==" saltValue="s8FZtwrxDiGnuazaxGCUi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7" t="s">
        <v>95</v>
      </c>
      <c r="C3" s="97"/>
      <c r="D3" s="1"/>
    </row>
    <row r="4" spans="1:4" ht="15" customHeight="1" x14ac:dyDescent="0.25">
      <c r="A4" s="1"/>
      <c r="B4" s="97"/>
      <c r="C4" s="97"/>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184</v>
      </c>
      <c r="C9" s="49">
        <v>3.56E-2</v>
      </c>
      <c r="D9" s="1"/>
    </row>
    <row r="10" spans="1:4" x14ac:dyDescent="0.25">
      <c r="A10" s="1"/>
      <c r="B10" s="43" t="s">
        <v>183</v>
      </c>
      <c r="C10" s="49">
        <v>8.0799999999999997E-2</v>
      </c>
      <c r="D10" s="1"/>
    </row>
    <row r="11" spans="1:4" x14ac:dyDescent="0.25">
      <c r="A11" s="1"/>
      <c r="B11" s="43" t="s">
        <v>191</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185</v>
      </c>
      <c r="C16" s="37">
        <v>0</v>
      </c>
      <c r="D16" s="1"/>
    </row>
    <row r="17" spans="1:4" x14ac:dyDescent="0.25">
      <c r="A17" s="1"/>
      <c r="B17" s="43" t="s">
        <v>108</v>
      </c>
      <c r="C17" s="37">
        <v>0</v>
      </c>
      <c r="D17" s="1"/>
    </row>
    <row r="18" spans="1:4" x14ac:dyDescent="0.25">
      <c r="A18" s="1"/>
      <c r="B18" s="43" t="s">
        <v>192</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7NCQeIZpGx63PMziuLbB7KWluHqOgy7wLItUmfPMRvLwgLWBRLtzBiIsh+ijF8wEYcUK+94fDitv+PKsOA3Pog==" saltValue="kII0u4q/iV6anhkdDCNi+g=="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16309254.789962696</v>
      </c>
      <c r="D9" s="8" t="s">
        <v>3</v>
      </c>
      <c r="E9" s="1"/>
    </row>
    <row r="10" spans="1:5" ht="17.100000000000001" customHeight="1" x14ac:dyDescent="0.25">
      <c r="A10" s="1"/>
      <c r="B10" s="24" t="s">
        <v>32</v>
      </c>
      <c r="C10" s="7">
        <f>'Fane 10.1. Varige tillæg'!C18</f>
        <v>73752.772100000002</v>
      </c>
      <c r="D10" s="8" t="s">
        <v>3</v>
      </c>
      <c r="E10" s="1"/>
    </row>
    <row r="11" spans="1:5" ht="17.100000000000001" customHeight="1" x14ac:dyDescent="0.25">
      <c r="A11" s="1"/>
      <c r="B11" s="24" t="s">
        <v>33</v>
      </c>
      <c r="C11" s="9">
        <f>'Fane 10.1. Varige tillæg'!E18</f>
        <v>444875.28820000001</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1115688.6329724165</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-142600.98471029691</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5" t="s">
        <v>19</v>
      </c>
      <c r="C20" s="10">
        <f>SUM(C9:C19)</f>
        <v>17800970.498524811</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15092007.79885296</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5"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Skattesagen'!C11</f>
        <v>-367891.83333333302</v>
      </c>
      <c r="D32" s="11" t="s">
        <v>3</v>
      </c>
      <c r="E32" s="1"/>
    </row>
    <row r="33" spans="1:5" x14ac:dyDescent="0.25">
      <c r="A33" s="1"/>
      <c r="B33" s="52" t="s">
        <v>69</v>
      </c>
      <c r="C33" s="29">
        <f>SUM(C20,C22,C28,C30,C32)</f>
        <v>32525086.464044441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M1KHbno7gJjLdC8W5xgsw983QBZcqin+tXv9EMaQ5NtvITCGyvDPoetaMzeYrLogiwv1JyJpAGB9x04U+stgQ==" saltValue="hHwoXfOhjDcFiAbuwNAbv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126</v>
      </c>
      <c r="C3" s="95"/>
      <c r="D3" s="95"/>
      <c r="E3" s="1"/>
    </row>
    <row r="4" spans="1:5" ht="15" customHeight="1" x14ac:dyDescent="0.25">
      <c r="A4" s="1"/>
      <c r="B4" s="95"/>
      <c r="C4" s="95"/>
      <c r="D4" s="95"/>
      <c r="E4" s="1"/>
    </row>
    <row r="5" spans="1:5" x14ac:dyDescent="0.25">
      <c r="A5" s="1"/>
      <c r="B5" s="96"/>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17800970.498524811</v>
      </c>
      <c r="D9" s="8" t="s">
        <v>3</v>
      </c>
      <c r="E9" s="1"/>
    </row>
    <row r="10" spans="1:5" ht="15" customHeight="1" x14ac:dyDescent="0.25">
      <c r="A10" s="1"/>
      <c r="B10" s="47" t="s">
        <v>17</v>
      </c>
      <c r="C10" s="41">
        <f>C9*'Fane 13. Nøgletal'!C11</f>
        <v>1180204.3440521949</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-149014.32139665782</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18832160.52118035</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16092607.91591691</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Skattesagen'!C12</f>
        <v>-367891.83333333302</v>
      </c>
      <c r="D20" s="11" t="s">
        <v>3</v>
      </c>
      <c r="E20" s="1"/>
    </row>
    <row r="21" spans="1:5" x14ac:dyDescent="0.25">
      <c r="A21" s="1"/>
      <c r="B21" s="52" t="s">
        <v>73</v>
      </c>
      <c r="C21" s="12">
        <f>SUM(C14,C16,C18,C20)</f>
        <v>34556876.603763923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vNxrdipHAgaZhR1x/FUOm0MUGyY6/t2R1R6UkQow/TNkse/VzItZrRE2aRNEd5ab8VUyb2zZaQUjNyNOyW2Ag==" saltValue="HSbuDkIBEGFirVXMM+976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127</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105</v>
      </c>
      <c r="C9" s="7">
        <f>'Fane 2.2. Økonomisk ramme 2026'!C14</f>
        <v>18832160.52118035</v>
      </c>
      <c r="D9" s="8" t="s">
        <v>3</v>
      </c>
      <c r="E9" s="1"/>
    </row>
    <row r="10" spans="1:5" ht="15" customHeight="1" x14ac:dyDescent="0.25">
      <c r="A10" s="1"/>
      <c r="B10" s="47" t="s">
        <v>17</v>
      </c>
      <c r="C10" s="41">
        <f>C9*'Fane 13. Nøgletal'!C11</f>
        <v>1248572.2425542572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-155716.09148715108</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19925016.672247458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17159547.820742201</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Skattesagen'!C13</f>
        <v>-367891.83333333302</v>
      </c>
      <c r="D20" s="11" t="s">
        <v>3</v>
      </c>
      <c r="E20" s="1"/>
    </row>
    <row r="21" spans="1:5" x14ac:dyDescent="0.25">
      <c r="A21" s="1"/>
      <c r="B21" s="52" t="s">
        <v>106</v>
      </c>
      <c r="C21" s="12">
        <f>SUM(C14,C16,C18,C20)</f>
        <v>36716672.659656323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UfsSXsi2DDiOEjdCHMczLehZc94WgKYkOCUagTdM2dkUa8cmpxeX7jckqQVRiMmd9Z5jYjwxJ9ShLjJ5AuvTw==" saltValue="jFolmxV/5SheTFMnhlRwa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8"/>
      <c r="C6" s="68"/>
      <c r="D6" s="68"/>
      <c r="E6" s="1"/>
    </row>
    <row r="7" spans="1:5" x14ac:dyDescent="0.25">
      <c r="A7" s="1"/>
      <c r="B7" s="1"/>
      <c r="C7" s="1"/>
      <c r="D7" s="1"/>
      <c r="E7" s="1"/>
    </row>
    <row r="8" spans="1:5" x14ac:dyDescent="0.25">
      <c r="A8" s="1"/>
      <c r="B8" s="52" t="s">
        <v>12</v>
      </c>
      <c r="C8" s="53"/>
      <c r="D8" s="19"/>
      <c r="E8" s="1"/>
    </row>
    <row r="9" spans="1:5" ht="15" customHeight="1" x14ac:dyDescent="0.25">
      <c r="A9" s="1"/>
      <c r="B9" s="55" t="s">
        <v>129</v>
      </c>
      <c r="C9" s="7">
        <f>'Fane 2.3. Økonomisk ramme 2027'!C14</f>
        <v>19925016.672247458</v>
      </c>
      <c r="D9" s="8" t="s">
        <v>3</v>
      </c>
      <c r="E9" s="1"/>
    </row>
    <row r="10" spans="1:5" ht="15" customHeight="1" x14ac:dyDescent="0.25">
      <c r="A10" s="1"/>
      <c r="B10" s="47" t="s">
        <v>17</v>
      </c>
      <c r="C10" s="9">
        <f>C9*'Fane 13. Nøgletal'!C11</f>
        <v>1321028.6053700065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-162719.26698569424</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21083326.01063177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18297225.841257412</v>
      </c>
      <c r="D16" s="11" t="s">
        <v>3</v>
      </c>
      <c r="E16" s="1"/>
    </row>
    <row r="17" spans="1:5" x14ac:dyDescent="0.25">
      <c r="A17" s="1"/>
      <c r="B17" s="25" t="s">
        <v>70</v>
      </c>
      <c r="C17" s="53"/>
      <c r="D17" s="19"/>
      <c r="E17" s="1"/>
    </row>
    <row r="18" spans="1:5" x14ac:dyDescent="0.25">
      <c r="A18" s="1"/>
      <c r="B18" s="58" t="s">
        <v>71</v>
      </c>
      <c r="C18" s="10">
        <f>'Fane 8. Skattesagen'!C14</f>
        <v>-367891.83333333302</v>
      </c>
      <c r="D18" s="11" t="s">
        <v>3</v>
      </c>
      <c r="E18" s="1"/>
    </row>
    <row r="19" spans="1:5" x14ac:dyDescent="0.25">
      <c r="A19" s="1"/>
      <c r="B19" s="52" t="s">
        <v>130</v>
      </c>
      <c r="C19" s="12">
        <f>SUM(C14,C16,C18)</f>
        <v>39012660.018555842</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nmMyuhfB2Fm1Lrj1ZNVcUP3Dssk+p9XUiBKvTDOTE3z0G23/Na5OVCCGqsIiCZgzhp+KP3xP1+a/izFklu4Mw==" saltValue="g51TM+T5kzsyKQkpVpEDQ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7" t="s">
        <v>131</v>
      </c>
      <c r="C3" s="97"/>
      <c r="D3" s="97"/>
      <c r="E3" s="1"/>
    </row>
    <row r="4" spans="1:5" ht="15" customHeight="1" x14ac:dyDescent="0.25">
      <c r="A4" s="1"/>
      <c r="B4" s="97"/>
      <c r="C4" s="97"/>
      <c r="D4" s="97"/>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132</v>
      </c>
      <c r="C8" s="53"/>
      <c r="D8" s="19"/>
      <c r="E8" s="1"/>
    </row>
    <row r="9" spans="1:5" x14ac:dyDescent="0.25">
      <c r="A9" s="1"/>
      <c r="B9" s="55" t="s">
        <v>63</v>
      </c>
      <c r="C9" s="7">
        <v>15526397.14858913</v>
      </c>
      <c r="D9" s="8" t="s">
        <v>3</v>
      </c>
      <c r="E9" s="1"/>
    </row>
    <row r="10" spans="1:5" x14ac:dyDescent="0.25">
      <c r="A10" s="1"/>
      <c r="B10" s="24" t="s">
        <v>32</v>
      </c>
      <c r="C10" s="7">
        <v>225366.25440000001</v>
      </c>
      <c r="D10" s="8" t="s">
        <v>3</v>
      </c>
      <c r="E10" s="1"/>
    </row>
    <row r="11" spans="1:5" ht="15" customHeight="1" x14ac:dyDescent="0.25">
      <c r="A11" s="1"/>
      <c r="B11" s="24" t="s">
        <v>33</v>
      </c>
      <c r="C11" s="9">
        <v>112417.2504</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580032.64567761298</v>
      </c>
      <c r="D16" s="8" t="s">
        <v>3</v>
      </c>
      <c r="E16" s="1"/>
    </row>
    <row r="17" spans="1:5" x14ac:dyDescent="0.25">
      <c r="A17" s="1"/>
      <c r="B17" s="24" t="s">
        <v>9</v>
      </c>
      <c r="C17" s="9">
        <v>0</v>
      </c>
      <c r="D17" s="8" t="s">
        <v>3</v>
      </c>
      <c r="E17" s="1"/>
    </row>
    <row r="18" spans="1:5" x14ac:dyDescent="0.25">
      <c r="A18" s="1"/>
      <c r="B18" s="24" t="s">
        <v>21</v>
      </c>
      <c r="C18" s="9">
        <v>-134958.50910404691</v>
      </c>
      <c r="D18" s="8" t="s">
        <v>3</v>
      </c>
      <c r="E18" s="1"/>
    </row>
    <row r="19" spans="1:5" x14ac:dyDescent="0.25">
      <c r="A19" s="1"/>
      <c r="B19" s="24" t="s">
        <v>22</v>
      </c>
      <c r="C19" s="9">
        <v>0</v>
      </c>
      <c r="D19" s="8" t="s">
        <v>3</v>
      </c>
      <c r="E19" s="1"/>
    </row>
    <row r="20" spans="1:5" x14ac:dyDescent="0.25">
      <c r="A20" s="1"/>
      <c r="B20" s="75" t="s">
        <v>19</v>
      </c>
      <c r="C20" s="10">
        <v>16309254.789962696</v>
      </c>
      <c r="D20" s="11" t="s">
        <v>3</v>
      </c>
      <c r="E20" s="1"/>
    </row>
    <row r="21" spans="1:5" x14ac:dyDescent="0.25">
      <c r="A21" s="1"/>
      <c r="B21" s="52" t="s">
        <v>11</v>
      </c>
      <c r="C21" s="53"/>
      <c r="D21" s="19"/>
      <c r="E21" s="1"/>
    </row>
    <row r="22" spans="1:5" x14ac:dyDescent="0.25">
      <c r="A22" s="1"/>
      <c r="B22" s="54" t="s">
        <v>11</v>
      </c>
      <c r="C22" s="10">
        <v>13608820.141378559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5"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29918074.931341253</v>
      </c>
      <c r="D33" s="19" t="s">
        <v>3</v>
      </c>
      <c r="E33" s="1"/>
    </row>
    <row r="34" spans="1:5" ht="30" customHeight="1" x14ac:dyDescent="0.25">
      <c r="A34" s="1"/>
      <c r="B34" s="98" t="s">
        <v>190</v>
      </c>
      <c r="C34" s="98"/>
      <c r="D34" s="98"/>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phOSa7kOrubIfMQM5wG2/f5Vg7j+392a5z7Deux0dJb7YZ1SkACkY8m1h1L0AEj8dzqFH+/JoaR9taB5ApdHhQ==" saltValue="dTjUGZqaDZjgWHIssDZQg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7" t="s">
        <v>53</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9"/>
      <c r="C6" s="69"/>
      <c r="D6" s="69"/>
      <c r="E6" s="1"/>
    </row>
    <row r="7" spans="1:5" x14ac:dyDescent="0.25">
      <c r="A7" s="1"/>
      <c r="B7" s="1"/>
      <c r="C7" s="32"/>
      <c r="D7" s="1"/>
      <c r="E7" s="1"/>
    </row>
    <row r="8" spans="1:5" x14ac:dyDescent="0.25">
      <c r="A8" s="1"/>
      <c r="B8" s="99" t="s">
        <v>75</v>
      </c>
      <c r="C8" s="100"/>
      <c r="D8" s="101"/>
      <c r="E8" s="1"/>
    </row>
    <row r="9" spans="1:5" x14ac:dyDescent="0.25">
      <c r="A9" s="1"/>
      <c r="B9" s="56" t="s">
        <v>164</v>
      </c>
      <c r="C9" s="22">
        <v>6504349.6074468251</v>
      </c>
      <c r="D9" s="14" t="s">
        <v>3</v>
      </c>
      <c r="E9" s="1"/>
    </row>
    <row r="10" spans="1:5" x14ac:dyDescent="0.25">
      <c r="A10" s="1"/>
      <c r="B10" s="56" t="s">
        <v>107</v>
      </c>
      <c r="C10" s="22">
        <f>('Fane 3. Omkostninger i ØR2024'!C10+'Fane 3. Omkostninger i ØR2024'!C12+'Fane 3. Omkostninger i ØR2024'!C14)*(1+'Fane 13. Nøgletal'!C10)</f>
        <v>243575.84775551999</v>
      </c>
      <c r="D10" s="14" t="s">
        <v>3</v>
      </c>
      <c r="E10" s="1"/>
    </row>
    <row r="11" spans="1:5" x14ac:dyDescent="0.25">
      <c r="A11" s="1"/>
      <c r="B11" s="56" t="s">
        <v>81</v>
      </c>
      <c r="C11" s="22">
        <f>C9*'Fane 13. Nøgletal'!C23+C10*'Fane 13. Nøgletal'!C23</f>
        <v>134958.50910404691</v>
      </c>
      <c r="D11" s="14" t="s">
        <v>3</v>
      </c>
      <c r="E11" s="1"/>
    </row>
    <row r="12" spans="1:5" x14ac:dyDescent="0.25">
      <c r="A12" s="1"/>
      <c r="B12" s="52"/>
      <c r="C12" s="31"/>
      <c r="D12" s="19"/>
      <c r="E12" s="1"/>
    </row>
    <row r="13" spans="1:5" x14ac:dyDescent="0.25">
      <c r="A13" s="1"/>
      <c r="B13" s="1"/>
      <c r="C13" s="32"/>
      <c r="D13" s="1"/>
      <c r="E13" s="1"/>
    </row>
    <row r="14" spans="1:5" x14ac:dyDescent="0.25">
      <c r="A14" s="1"/>
      <c r="B14" s="99" t="s">
        <v>150</v>
      </c>
      <c r="C14" s="100"/>
      <c r="D14" s="101"/>
      <c r="E14" s="1"/>
    </row>
    <row r="15" spans="1:5" x14ac:dyDescent="0.25">
      <c r="A15" s="1"/>
      <c r="B15" s="56" t="s">
        <v>165</v>
      </c>
      <c r="C15" s="22">
        <f>(C9+C10-C11)*(1+'Fane 13. Nøgletal'!C11)</f>
        <v>7051406.6546246149</v>
      </c>
      <c r="D15" s="14" t="s">
        <v>3</v>
      </c>
      <c r="E15" s="1"/>
    </row>
    <row r="16" spans="1:5" x14ac:dyDescent="0.25">
      <c r="A16" s="1"/>
      <c r="B16" s="56" t="s">
        <v>151</v>
      </c>
      <c r="C16" s="22">
        <f>('Fane 2.1. Økonomisk ramme 2025'!C10+'Fane 2.1. Økonomisk ramme 2025'!C12+'Fane 2.1. Økonomisk ramme 2025'!C14)*(1+'Fane 13. Nøgletal'!C11)</f>
        <v>78642.580890230005</v>
      </c>
      <c r="D16" s="14" t="s">
        <v>3</v>
      </c>
      <c r="E16" s="1"/>
    </row>
    <row r="17" spans="1:5" x14ac:dyDescent="0.25">
      <c r="A17" s="1"/>
      <c r="B17" s="56" t="s">
        <v>152</v>
      </c>
      <c r="C17" s="22">
        <f>(C15+C16)*'Fane 13. Nøgletal'!C23</f>
        <v>142600.98471029691</v>
      </c>
      <c r="D17" s="14" t="s">
        <v>3</v>
      </c>
      <c r="E17" s="1"/>
    </row>
    <row r="18" spans="1:5" x14ac:dyDescent="0.25">
      <c r="A18" s="1"/>
      <c r="B18" s="52"/>
      <c r="C18" s="31"/>
      <c r="D18" s="19"/>
      <c r="E18" s="1"/>
    </row>
    <row r="19" spans="1:5" x14ac:dyDescent="0.25">
      <c r="A19" s="1"/>
      <c r="B19" s="1"/>
      <c r="C19" s="32"/>
      <c r="D19" s="1"/>
      <c r="E19" s="1"/>
    </row>
    <row r="20" spans="1:5" x14ac:dyDescent="0.25">
      <c r="A20" s="1"/>
      <c r="B20" s="99" t="s">
        <v>167</v>
      </c>
      <c r="C20" s="100"/>
      <c r="D20" s="101"/>
      <c r="E20" s="1"/>
    </row>
    <row r="21" spans="1:5" x14ac:dyDescent="0.25">
      <c r="A21" s="1"/>
      <c r="B21" s="56" t="s">
        <v>166</v>
      </c>
      <c r="C21" s="48">
        <f>(C15+C16-C17)*(1+'Fane 13. Nøgletal'!C11)</f>
        <v>7450716.0698328903</v>
      </c>
      <c r="D21" s="14" t="s">
        <v>3</v>
      </c>
      <c r="E21" s="1"/>
    </row>
    <row r="22" spans="1:5" x14ac:dyDescent="0.25">
      <c r="A22" s="1"/>
      <c r="B22" s="56" t="s">
        <v>168</v>
      </c>
      <c r="C22" s="48">
        <f>(C21)*'Fane 13. Nøgletal'!C23</f>
        <v>149014.32139665782</v>
      </c>
      <c r="D22" s="14" t="s">
        <v>3</v>
      </c>
      <c r="E22" s="1"/>
    </row>
    <row r="23" spans="1:5" x14ac:dyDescent="0.25">
      <c r="A23" s="1"/>
      <c r="B23" s="52"/>
      <c r="C23" s="31"/>
      <c r="D23" s="19"/>
      <c r="E23" s="1"/>
    </row>
    <row r="24" spans="1:5" x14ac:dyDescent="0.25">
      <c r="A24" s="1"/>
      <c r="B24" s="1"/>
      <c r="C24" s="32"/>
      <c r="D24" s="1"/>
      <c r="E24" s="1"/>
    </row>
    <row r="25" spans="1:5" x14ac:dyDescent="0.25">
      <c r="A25" s="1"/>
      <c r="B25" s="99" t="s">
        <v>113</v>
      </c>
      <c r="C25" s="100"/>
      <c r="D25" s="101"/>
      <c r="E25" s="1"/>
    </row>
    <row r="26" spans="1:5" x14ac:dyDescent="0.25">
      <c r="A26" s="1"/>
      <c r="B26" s="56" t="s">
        <v>114</v>
      </c>
      <c r="C26" s="48">
        <f>(C21-C22)*(1+'Fane 13. Nøgletal'!C11)</f>
        <v>7785804.5743575543</v>
      </c>
      <c r="D26" s="14" t="s">
        <v>3</v>
      </c>
      <c r="E26" s="1"/>
    </row>
    <row r="27" spans="1:5" x14ac:dyDescent="0.25">
      <c r="A27" s="1"/>
      <c r="B27" s="56" t="s">
        <v>115</v>
      </c>
      <c r="C27" s="48">
        <f>(C26)*'Fane 13. Nøgletal'!C23</f>
        <v>155716.09148715108</v>
      </c>
      <c r="D27" s="14" t="s">
        <v>3</v>
      </c>
      <c r="E27" s="1"/>
    </row>
    <row r="28" spans="1:5" x14ac:dyDescent="0.25">
      <c r="A28" s="1"/>
      <c r="B28" s="52"/>
      <c r="C28" s="42"/>
      <c r="D28" s="19"/>
      <c r="E28" s="1"/>
    </row>
    <row r="29" spans="1:5" x14ac:dyDescent="0.25">
      <c r="A29" s="1"/>
      <c r="B29" s="1"/>
      <c r="C29" s="32"/>
      <c r="D29" s="1"/>
      <c r="E29" s="1"/>
    </row>
    <row r="30" spans="1:5" x14ac:dyDescent="0.25">
      <c r="A30" s="1"/>
      <c r="B30" s="99" t="s">
        <v>133</v>
      </c>
      <c r="C30" s="100"/>
      <c r="D30" s="101"/>
      <c r="E30" s="1"/>
    </row>
    <row r="31" spans="1:5" x14ac:dyDescent="0.25">
      <c r="A31" s="1"/>
      <c r="B31" s="56" t="s">
        <v>134</v>
      </c>
      <c r="C31" s="48">
        <f>(C26-C27)*(1+'Fane 13. Nøgletal'!C11)</f>
        <v>8135963.3492847113</v>
      </c>
      <c r="D31" s="14" t="s">
        <v>3</v>
      </c>
      <c r="E31" s="1"/>
    </row>
    <row r="32" spans="1:5" x14ac:dyDescent="0.25">
      <c r="A32" s="1"/>
      <c r="B32" s="56" t="s">
        <v>135</v>
      </c>
      <c r="C32" s="48">
        <f>(C31)*'Fane 13. Nøgletal'!C23</f>
        <v>162719.26698569424</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7KWsWPA1POQPz03TSEmZK82jE54yZCcs9JwsLVTB71ohRcyH90+ly+WprTCCj8EN0Kgx5NXWMbbnW0tgsfEsrg==" saltValue="g8f1442EmMKptZW+KvW62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159</v>
      </c>
      <c r="C9" s="48">
        <v>9837848.8021952584</v>
      </c>
      <c r="D9" s="14" t="s">
        <v>3</v>
      </c>
      <c r="E9" s="1"/>
    </row>
    <row r="10" spans="1:5" x14ac:dyDescent="0.25">
      <c r="A10" s="1"/>
      <c r="B10" s="56" t="s">
        <v>110</v>
      </c>
      <c r="C10" s="48">
        <f>('Fane 3. Omkostninger i ØR2024'!C11+'Fane 3. Omkostninger i ØR2024'!C13+'Fane 3. Omkostninger i ØR2024'!C15)*(1+'Fane 13. Nøgletal'!C10)</f>
        <v>121500.56423232</v>
      </c>
      <c r="D10" s="14" t="s">
        <v>3</v>
      </c>
      <c r="E10" s="1"/>
    </row>
    <row r="11" spans="1:5" x14ac:dyDescent="0.25">
      <c r="A11" s="1"/>
      <c r="B11" s="56" t="s">
        <v>111</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9" t="s">
        <v>153</v>
      </c>
      <c r="C14" s="100"/>
      <c r="D14" s="101"/>
      <c r="E14" s="1"/>
    </row>
    <row r="15" spans="1:5" x14ac:dyDescent="0.25">
      <c r="A15" s="1"/>
      <c r="B15" s="56" t="s">
        <v>160</v>
      </c>
      <c r="C15" s="48">
        <f>(C9+C10-C11)*(1+'Fane 13. Nøgletal'!C11)</f>
        <v>10619654.229421727</v>
      </c>
      <c r="D15" s="14" t="s">
        <v>3</v>
      </c>
      <c r="E15" s="1"/>
    </row>
    <row r="16" spans="1:5" x14ac:dyDescent="0.25">
      <c r="A16" s="1"/>
      <c r="B16" s="56" t="s">
        <v>154</v>
      </c>
      <c r="C16" s="48">
        <f>('Fane 2.1. Økonomisk ramme 2025'!C11+'Fane 2.1. Økonomisk ramme 2025'!C13+'Fane 2.1. Økonomisk ramme 2025'!C15)*(1+'Fane 13. Nøgletal'!C11)</f>
        <v>474370.51980766002</v>
      </c>
      <c r="D16" s="14" t="s">
        <v>3</v>
      </c>
      <c r="E16" s="1"/>
    </row>
    <row r="17" spans="1:5" x14ac:dyDescent="0.25">
      <c r="A17" s="1"/>
      <c r="B17" s="56" t="s">
        <v>155</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9" t="s">
        <v>163</v>
      </c>
      <c r="C20" s="100"/>
      <c r="D20" s="101"/>
      <c r="E20" s="1"/>
    </row>
    <row r="21" spans="1:5" x14ac:dyDescent="0.25">
      <c r="A21" s="1"/>
      <c r="B21" s="56" t="s">
        <v>161</v>
      </c>
      <c r="C21" s="48">
        <f>(C15+C16-C17)*(1+'Fane 13. Nøgletal'!C11)</f>
        <v>11829558.590103295</v>
      </c>
      <c r="D21" s="14" t="s">
        <v>3</v>
      </c>
      <c r="E21" s="1"/>
    </row>
    <row r="22" spans="1:5" x14ac:dyDescent="0.25">
      <c r="A22" s="1"/>
      <c r="B22" s="56" t="s">
        <v>162</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9" t="s">
        <v>116</v>
      </c>
      <c r="C25" s="100"/>
      <c r="D25" s="101"/>
      <c r="E25" s="1"/>
    </row>
    <row r="26" spans="1:5" x14ac:dyDescent="0.25">
      <c r="A26" s="1"/>
      <c r="B26" s="56" t="s">
        <v>117</v>
      </c>
      <c r="C26" s="48">
        <f>(C21-C22)*(1+'Fane 13. Nøgletal'!C11)</f>
        <v>12613858.324627144</v>
      </c>
      <c r="D26" s="14" t="s">
        <v>3</v>
      </c>
      <c r="E26" s="1"/>
    </row>
    <row r="27" spans="1:5" x14ac:dyDescent="0.25">
      <c r="A27" s="1"/>
      <c r="B27" s="56" t="s">
        <v>118</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9" t="s">
        <v>136</v>
      </c>
      <c r="C30" s="100"/>
      <c r="D30" s="101"/>
      <c r="E30" s="1"/>
    </row>
    <row r="31" spans="1:5" x14ac:dyDescent="0.25">
      <c r="A31" s="1"/>
      <c r="B31" s="56" t="s">
        <v>137</v>
      </c>
      <c r="C31" s="48">
        <f>(C26-C27)*(1+'Fane 13. Nøgletal'!C11)</f>
        <v>13450157.131549925</v>
      </c>
      <c r="D31" s="14" t="s">
        <v>3</v>
      </c>
      <c r="E31" s="1"/>
    </row>
    <row r="32" spans="1:5" x14ac:dyDescent="0.25">
      <c r="A32" s="1"/>
      <c r="B32" s="56" t="s">
        <v>138</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gC8tT5JVPnzQVL//7mqhADt42IrnNvnKx93oIS8OMivJ+uplXJENUXVipo+JIWcEejFmQGsV3ybFqF9Vxrdhg==" saltValue="xbMMRfGzwygVsR84xXijh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157</v>
      </c>
      <c r="C9" s="44">
        <v>0</v>
      </c>
      <c r="D9" s="1"/>
    </row>
    <row r="10" spans="1:4" x14ac:dyDescent="0.25">
      <c r="A10" s="1"/>
      <c r="B10" s="52"/>
      <c r="C10" s="19"/>
      <c r="D10" s="1"/>
    </row>
    <row r="11" spans="1:4" ht="15" customHeight="1" x14ac:dyDescent="0.25">
      <c r="A11" s="1"/>
      <c r="B11" s="104" t="s">
        <v>158</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skIUdeDQwh4PuYoucxqIptvfGXR8AbZoJ0v3q/xQL8LCn2X2Lgo3i2DGlSe2PiFt9NDhcqgxPAPBvTq9DApzKA==" saltValue="hVhinT02Chx83f+VQEBfF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2024-09-04T07:55:59Z</dcterms:modified>
</cp:coreProperties>
</file>