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20\"/>
    </mc:Choice>
  </mc:AlternateContent>
  <workbookProtection workbookAlgorithmName="SHA-512" workbookHashValue="Ra6ZiasZifU7uw0l3BoPw5kIj4FJdSIIzXJ1pMio9W2q158tnp0N2UnLH0ymXuhvpjE5Xu6QiKAqIHmwMzCE4A==" workbookSaltValue="WRpXisoZTNb9JdWqKME29Q==" workbookSpinCount="100000" lockStructure="1"/>
  <bookViews>
    <workbookView xWindow="3110" yWindow="990" windowWidth="12740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7" l="1"/>
  <c r="C17" i="37"/>
  <c r="G18" i="36" l="1"/>
  <c r="E16" i="37"/>
  <c r="E14" i="37"/>
  <c r="G19" i="30" l="1"/>
  <c r="G20" i="30"/>
  <c r="G17" i="30"/>
  <c r="C20" i="19" l="1"/>
  <c r="E17" i="37" l="1"/>
  <c r="C18" i="37" l="1"/>
  <c r="C16" i="37" l="1"/>
  <c r="E15" i="37" l="1"/>
  <c r="C15" i="37"/>
  <c r="C14" i="37"/>
  <c r="E13" i="37" l="1"/>
  <c r="C13" i="37"/>
  <c r="E32" i="32" l="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2" i="36" l="1"/>
  <c r="G16" i="36" s="1"/>
  <c r="G19" i="36" l="1"/>
  <c r="G23" i="36" s="1"/>
  <c r="G24" i="30" l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0" i="2" s="1"/>
  <c r="G11" i="11"/>
  <c r="E11" i="21" l="1"/>
  <c r="C11" i="21"/>
  <c r="E11" i="29"/>
  <c r="C11" i="29"/>
  <c r="C21" i="19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<sst xmlns="http://schemas.openxmlformats.org/spreadsheetml/2006/main" count="621" uniqueCount="257">
  <si>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</si>
  <si>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</si>
  <si>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</si>
  <si>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</si>
  <si>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</si>
  <si>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</si>
  <si>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</si>
  <si>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</si>
  <si>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</si>
  <si>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</si>
  <si>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</si>
  <si>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</si>
  <si>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</si>
  <si>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</si>
  <si>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</si>
  <si>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</si>
  <si>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</si>
  <si>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</si>
  <si>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</si>
  <si>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</si>
  <si>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</si>
  <si>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</si>
  <si>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</si>
  <si>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</si>
  <si>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</si>
  <si>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</si>
  <si>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</si>
  <si>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</si>
  <si>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</si>
  <si>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</si>
  <si>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</si>
  <si>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</si>
  <si>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</si>
  <si>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</si>
  <si>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</si>
  <si>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</si>
  <si>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</si>
  <si>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</si>
  <si>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</si>
  <si>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</si>
  <si>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</si>
  <si>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</si>
  <si>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</si>
  <si>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</si>
  <si>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</si>
  <si>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</si>
  <si>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</si>
  <si>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</si>
  <si>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</si>
  <si>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</si>
  <si>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</si>
  <si>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</si>
  <si>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</si>
  <si>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</si>
  <si>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</si>
  <si>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</si>
  <si>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</si>
  <si>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</si>
  <si>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</si>
  <si>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</si>
  <si>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</si>
  <si>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</si>
  <si>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</si>
  <si>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</si>
  <si>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</si>
  <si>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</si>
  <si>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</si>
  <si>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</si>
  <si>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</si>
  <si>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</si>
  <si>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</si>
  <si>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</si>
  <si>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</si>
  <si>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</si>
  <si>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</si>
  <si>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</si>
  <si>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</si>
  <si>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</si>
  <si>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</si>
  <si>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</si>
  <si>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</si>
  <si>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</si>
  <si>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</si>
  <si>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</si>
  <si>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</si>
  <si>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</si>
  <si>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</si>
  <si>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</si>
  <si>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</si>
  <si>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</si>
  <si>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</si>
  <si>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</si>
  <si>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</si>
  <si>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</si>
  <si>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</si>
  <si>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</si>
  <si>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</si>
  <si>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</si>
  <si>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</si>
  <si>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</si>
  <si>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</si>
  <si>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</si>
  <si>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</si>
  <si>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</si>
  <si>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</si>
  <si>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</si>
  <si>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</si>
  <si>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</si>
  <si>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</si>
  <si>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</si>
  <si>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</si>
  <si>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</si>
  <si>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</si>
  <si>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</si>
  <si>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</si>
  <si>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</si>
  <si>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</si>
  <si>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</si>
  <si>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</si>
  <si>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</si>
  <si>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</si>
  <si>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</si>
  <si>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</si>
  <si>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</si>
  <si>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</si>
  <si>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</si>
  <si>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</si>
  <si>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</si>
  <si>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</si>
  <si>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</si>
  <si>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</si>
  <si>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</si>
  <si>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</si>
  <si>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</si>
  <si>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</si>
  <si>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</si>
  <si>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</si>
  <si>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</si>
  <si>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</si>
  <si>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</si>
  <si>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</si>
  <si>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</si>
  <si>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</si>
  <si>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</si>
  <si>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</si>
  <si>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</si>
  <si>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</si>
  <si>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</si>
  <si>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</si>
  <si>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</si>
  <si>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</si>
  <si>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</si>
  <si>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</si>
  <si>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</si>
  <si>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</si>
  <si>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</si>
  <si>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</si>
  <si>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</si>
  <si>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</si>
  <si>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</si>
  <si>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</si>
  <si>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</si>
  <si>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</si>
  <si>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</si>
  <si>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</si>
  <si>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</si>
  <si>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</si>
  <si>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</si>
  <si>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</si>
  <si>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</si>
  <si>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</si>
  <si>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</si>
  <si>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</si>
  <si>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</si>
  <si>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</si>
  <si>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</si>
  <si>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</si>
  <si>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</si>
  <si>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</si>
  <si>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</si>
  <si>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</si>
  <si>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</si>
  <si>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</si>
  <si>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</si>
  <si>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</si>
  <si>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</si>
  <si>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</si>
  <si>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</si>
  <si>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</si>
  <si>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</si>
  <si>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</si>
  <si>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</si>
  <si>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</si>
  <si>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</si>
  <si>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</si>
  <si>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</si>
  <si>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</si>
  <si>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</si>
  <si>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</si>
  <si>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</si>
  <si>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</si>
  <si>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</si>
  <si>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</si>
  <si>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</si>
  <si>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</si>
  <si>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</si>
  <si>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</si>
  <si>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</si>
  <si>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</si>
  <si>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</si>
  <si>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</si>
  <si>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</si>
  <si>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</si>
  <si>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</si>
  <si>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</si>
  <si>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</si>
  <si>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</si>
  <si>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</si>
  <si>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</si>
  <si>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</si>
  <si>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</si>
  <si>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</si>
  <si>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</si>
  <si>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</si>
  <si>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</si>
  <si>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</si>
  <si>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</si>
  <si>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</si>
  <si>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</si>
  <si>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</si>
  <si>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</si>
  <si>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</si>
  <si>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</si>
  <si>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</si>
  <si>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</si>
  <si>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</si>
  <si>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</si>
  <si>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Undersøgelsesudgifter i forbindelse med fusion</t>
  </si>
  <si>
    <t>Sankt Clementsvej Banekrydsning</t>
  </si>
  <si>
    <t>Udvidelse af forsyningsområdet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</si>
  <si>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</si>
  <si>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</si>
  <si>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</si>
  <si>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</si>
  <si>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</si>
  <si>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</si>
  <si>
    <t>Tillæg som følge af fusion m. Gammelsø</t>
  </si>
  <si>
    <t>Tillæg som følge af fusion m. Lendemarke</t>
  </si>
  <si>
    <t>Tillæg som følge af fusion m. Bissinge</t>
  </si>
  <si>
    <t>Tillæg som følge af fusion m. Neble</t>
  </si>
  <si>
    <t>Afgift for ledningsført vand (Gammelsø)</t>
  </si>
  <si>
    <t>Afgift for ledningsført vand (Lendemarke)</t>
  </si>
  <si>
    <t>Undersøgelsesudgifter (Lendemarke)</t>
  </si>
  <si>
    <t>Afgift for ledningsført vand (Bissinge)</t>
  </si>
  <si>
    <t xml:space="preserve">Afgifter for ledningsført vand (Neble) </t>
  </si>
  <si>
    <t xml:space="preserve">Undersøgelsesudgifter (Neble) </t>
  </si>
  <si>
    <t xml:space="preserve">kr.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</si>
</sst>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8" fillId="0" borderId="1" xfId="0" applyNumberFormat="1" applyFont="1" applyFill="1" applyBorder="1" applyProtection="1"/>
    <xf numFmtId="165" fontId="0" fillId="2" borderId="0" xfId="0" applyNumberFormat="1" applyFill="1" applyProtection="1"/>
    <xf numFmtId="3" fontId="8" fillId="0" borderId="1" xfId="0" applyNumberFormat="1" applyFont="1" applyFill="1" applyBorder="1" applyAlignment="1" applyProtection="1">
      <alignment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08984375" defaultRowHeight="14.5" x14ac:dyDescent="0.35"/>
  <cols>
    <col min="1" max="1" width="9.08984375" style="2"/>
    <col min="2" max="2" width="5.81640625" style="2" customWidth="1"/>
    <col min="3" max="4" width="9.08984375" style="2"/>
    <col min="5" max="5" width="11.7265625" style="2" customWidth="1"/>
    <col min="6" max="6" width="11.6328125" style="2" customWidth="1"/>
    <col min="7" max="8" width="9.08984375" style="2"/>
    <col min="9" max="9" width="12.0898437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3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35">
      <c r="A7" s="1"/>
      <c r="B7" s="1"/>
      <c r="C7" s="3"/>
      <c r="D7" s="63"/>
      <c r="E7" s="63"/>
      <c r="F7" s="63"/>
      <c r="G7" s="63"/>
      <c r="H7" s="3"/>
      <c r="I7" s="1"/>
    </row>
    <row r="8" spans="1:9" ht="15.5" x14ac:dyDescent="0.3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35">
      <c r="A9" s="1"/>
      <c r="B9" s="1"/>
      <c r="C9" s="5"/>
      <c r="D9" s="5"/>
      <c r="E9" s="5"/>
      <c r="F9" s="5"/>
      <c r="G9" s="5"/>
      <c r="H9" s="5"/>
      <c r="I9" s="1"/>
    </row>
    <row r="10" spans="1:9" x14ac:dyDescent="0.3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3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6" t="s">
        <v>6</v>
      </c>
      <c r="D13" s="60" t="s">
        <v>56</v>
      </c>
      <c r="E13" s="61"/>
      <c r="F13" s="61"/>
      <c r="G13" s="62"/>
      <c r="H13" s="1"/>
      <c r="I13" s="1"/>
    </row>
    <row r="14" spans="1:9" x14ac:dyDescent="0.35">
      <c r="A14" s="1"/>
      <c r="B14" s="1"/>
      <c r="C14" s="6" t="s">
        <v>22</v>
      </c>
      <c r="D14" s="60" t="s">
        <v>177</v>
      </c>
      <c r="E14" s="61"/>
      <c r="F14" s="61"/>
      <c r="G14" s="62"/>
      <c r="H14" s="1"/>
      <c r="I14" s="1"/>
    </row>
    <row r="15" spans="1:9" x14ac:dyDescent="0.35">
      <c r="A15" s="1"/>
      <c r="B15" s="1"/>
      <c r="C15" s="6" t="s">
        <v>55</v>
      </c>
      <c r="D15" s="60" t="s">
        <v>133</v>
      </c>
      <c r="E15" s="61"/>
      <c r="F15" s="61"/>
      <c r="G15" s="62"/>
      <c r="H15" s="1"/>
      <c r="I15" s="1"/>
    </row>
    <row r="16" spans="1:9" x14ac:dyDescent="0.35">
      <c r="A16" s="1"/>
      <c r="B16" s="1"/>
      <c r="C16" s="6" t="s">
        <v>57</v>
      </c>
      <c r="D16" s="60" t="s">
        <v>134</v>
      </c>
      <c r="E16" s="61"/>
      <c r="F16" s="61"/>
      <c r="G16" s="62"/>
      <c r="H16" s="1"/>
      <c r="I16" s="1"/>
    </row>
    <row r="17" spans="1:9" x14ac:dyDescent="0.35">
      <c r="A17" s="1"/>
      <c r="B17" s="1"/>
      <c r="C17" s="6" t="s">
        <v>224</v>
      </c>
      <c r="D17" s="60" t="s">
        <v>66</v>
      </c>
      <c r="E17" s="61"/>
      <c r="F17" s="61"/>
      <c r="G17" s="62"/>
      <c r="H17" s="1"/>
      <c r="I17" s="1"/>
    </row>
    <row r="18" spans="1:9" x14ac:dyDescent="0.3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3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3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35">
      <c r="A21" s="1"/>
      <c r="B21" s="1"/>
      <c r="C21" s="6" t="s">
        <v>198</v>
      </c>
      <c r="D21" s="78" t="s">
        <v>17</v>
      </c>
      <c r="E21" s="79"/>
      <c r="F21" s="79"/>
      <c r="G21" s="80"/>
      <c r="H21" s="1"/>
      <c r="I21" s="1"/>
    </row>
    <row r="22" spans="1:9" x14ac:dyDescent="0.35">
      <c r="A22" s="1"/>
      <c r="B22" s="1"/>
      <c r="C22" s="6" t="s">
        <v>140</v>
      </c>
      <c r="D22" s="64" t="s">
        <v>161</v>
      </c>
      <c r="E22" s="65"/>
      <c r="F22" s="65"/>
      <c r="G22" s="66"/>
      <c r="H22" s="1"/>
      <c r="I22" s="1"/>
    </row>
    <row r="23" spans="1:9" x14ac:dyDescent="0.35">
      <c r="A23" s="1"/>
      <c r="B23" s="1"/>
      <c r="C23" s="6" t="s">
        <v>8</v>
      </c>
      <c r="D23" s="64" t="s">
        <v>225</v>
      </c>
      <c r="E23" s="65"/>
      <c r="F23" s="65"/>
      <c r="G23" s="66"/>
      <c r="H23" s="1"/>
      <c r="I23" s="1"/>
    </row>
    <row r="24" spans="1:9" x14ac:dyDescent="0.35">
      <c r="A24" s="1"/>
      <c r="B24" s="1"/>
      <c r="C24" s="6" t="s">
        <v>9</v>
      </c>
      <c r="D24" s="64" t="s">
        <v>58</v>
      </c>
      <c r="E24" s="65"/>
      <c r="F24" s="65"/>
      <c r="G24" s="66"/>
      <c r="H24" s="1"/>
      <c r="I24" s="1"/>
    </row>
    <row r="25" spans="1:9" x14ac:dyDescent="0.35">
      <c r="A25" s="1"/>
      <c r="B25" s="1"/>
      <c r="C25" s="6" t="s">
        <v>199</v>
      </c>
      <c r="D25" s="64" t="s">
        <v>141</v>
      </c>
      <c r="E25" s="65"/>
      <c r="F25" s="65"/>
      <c r="G25" s="66"/>
      <c r="H25" s="1"/>
      <c r="I25" s="1"/>
    </row>
    <row r="26" spans="1:9" x14ac:dyDescent="0.35">
      <c r="A26" s="1"/>
      <c r="B26" s="1"/>
      <c r="C26" s="6" t="s">
        <v>200</v>
      </c>
      <c r="D26" s="64" t="s">
        <v>142</v>
      </c>
      <c r="E26" s="65"/>
      <c r="F26" s="65"/>
      <c r="G26" s="66"/>
      <c r="H26" s="1"/>
      <c r="I26" s="1"/>
    </row>
    <row r="27" spans="1:9" x14ac:dyDescent="0.35">
      <c r="A27" s="1"/>
      <c r="B27" s="1"/>
      <c r="C27" s="6" t="s">
        <v>201</v>
      </c>
      <c r="D27" s="64" t="s">
        <v>59</v>
      </c>
      <c r="E27" s="65"/>
      <c r="F27" s="65"/>
      <c r="G27" s="66"/>
      <c r="H27" s="1"/>
      <c r="I27" s="1"/>
    </row>
    <row r="28" spans="1:9" x14ac:dyDescent="0.35">
      <c r="A28" s="1"/>
      <c r="B28" s="1"/>
      <c r="C28" s="6" t="s">
        <v>183</v>
      </c>
      <c r="D28" s="64" t="s">
        <v>60</v>
      </c>
      <c r="E28" s="65"/>
      <c r="F28" s="65"/>
      <c r="G28" s="66"/>
      <c r="H28" s="1"/>
      <c r="I28" s="1"/>
    </row>
    <row r="29" spans="1:9" x14ac:dyDescent="0.35">
      <c r="A29" s="1"/>
      <c r="B29" s="1"/>
      <c r="C29" s="6" t="s">
        <v>61</v>
      </c>
      <c r="D29" s="72" t="s">
        <v>11</v>
      </c>
      <c r="E29" s="73"/>
      <c r="F29" s="73"/>
      <c r="G29" s="74"/>
      <c r="H29" s="1"/>
      <c r="I29" s="1"/>
    </row>
    <row r="30" spans="1:9" x14ac:dyDescent="0.35">
      <c r="A30" s="1"/>
      <c r="B30" s="1"/>
      <c r="C30" s="6" t="s">
        <v>62</v>
      </c>
      <c r="D30" s="75" t="s">
        <v>184</v>
      </c>
      <c r="E30" s="76"/>
      <c r="F30" s="76"/>
      <c r="G30" s="77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TVnlv2mzL+sdoRrflayyTkC1T7m2IajkeDUt3nVmV3ozU07Ne+Cyz7syQkUzi+D43JMWXmIURBJWX9TX2FClw==" saltValue="x5AnGaHwW062p00BGk/fH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5"/>
  <sheetViews>
    <sheetView showGridLines="0" view="pageLayout" topLeftCell="A10" zoomScaleNormal="100" workbookViewId="0">
      <selection activeCell="C20" sqref="C20"/>
    </sheetView>
  </sheetViews>
  <sheetFormatPr defaultColWidth="9.08984375" defaultRowHeight="14.5" x14ac:dyDescent="0.35"/>
  <cols>
    <col min="1" max="1" width="8.08984375" style="2" customWidth="1"/>
    <col min="2" max="2" width="37.7265625" style="2" customWidth="1"/>
    <col min="3" max="3" width="24.81640625" style="2" customWidth="1"/>
    <col min="4" max="4" width="3.26953125" style="2" customWidth="1"/>
    <col min="5" max="5" width="7.81640625" style="2" customWidth="1"/>
    <col min="6" max="6" width="4" style="2" customWidth="1"/>
    <col min="7" max="16384" width="9.08984375" style="2"/>
  </cols>
  <sheetData>
    <row r="1" spans="1:6" x14ac:dyDescent="0.35">
      <c r="A1" s="1"/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3" spans="1:6" ht="15" customHeight="1" x14ac:dyDescent="0.35">
      <c r="A3" s="1"/>
      <c r="B3" s="81" t="s">
        <v>204</v>
      </c>
      <c r="C3" s="81"/>
      <c r="D3" s="81"/>
      <c r="E3" s="1"/>
      <c r="F3" s="1"/>
    </row>
    <row r="4" spans="1:6" ht="15" customHeight="1" x14ac:dyDescent="0.35">
      <c r="A4" s="1"/>
      <c r="B4" s="81"/>
      <c r="C4" s="81"/>
      <c r="D4" s="81"/>
      <c r="E4" s="1"/>
      <c r="F4" s="1"/>
    </row>
    <row r="5" spans="1:6" x14ac:dyDescent="0.35">
      <c r="A5" s="1"/>
      <c r="B5" s="1"/>
      <c r="C5" s="1"/>
      <c r="D5" s="1"/>
      <c r="E5" s="1"/>
      <c r="F5" s="1"/>
    </row>
    <row r="6" spans="1:6" x14ac:dyDescent="0.35">
      <c r="A6" s="1"/>
      <c r="B6" s="1"/>
      <c r="C6" s="1"/>
      <c r="D6" s="1"/>
      <c r="E6" s="1"/>
      <c r="F6" s="1"/>
    </row>
    <row r="7" spans="1:6" x14ac:dyDescent="0.35">
      <c r="A7" s="1"/>
      <c r="B7" s="1"/>
      <c r="C7" s="1"/>
      <c r="D7" s="1"/>
      <c r="E7" s="1"/>
      <c r="F7" s="1"/>
    </row>
    <row r="8" spans="1:6" x14ac:dyDescent="0.35">
      <c r="A8" s="1"/>
      <c r="B8" s="104" t="s">
        <v>69</v>
      </c>
      <c r="C8" s="105"/>
      <c r="D8" s="106"/>
      <c r="E8" s="1"/>
      <c r="F8" s="1"/>
    </row>
    <row r="9" spans="1:6" ht="15" customHeight="1" x14ac:dyDescent="0.35">
      <c r="A9" s="1"/>
      <c r="B9" s="45" t="s">
        <v>48</v>
      </c>
      <c r="C9" s="11" t="s">
        <v>70</v>
      </c>
      <c r="D9" s="11"/>
      <c r="E9" s="1"/>
      <c r="F9" s="1"/>
    </row>
    <row r="10" spans="1:6" x14ac:dyDescent="0.35">
      <c r="A10" s="1"/>
      <c r="B10" s="48" t="s">
        <v>234</v>
      </c>
      <c r="C10" s="9">
        <v>5845691</v>
      </c>
      <c r="D10" s="14" t="s">
        <v>3</v>
      </c>
      <c r="E10" s="1"/>
      <c r="F10" s="1"/>
    </row>
    <row r="11" spans="1:6" x14ac:dyDescent="0.35">
      <c r="A11" s="1"/>
      <c r="B11" s="48" t="s">
        <v>235</v>
      </c>
      <c r="C11" s="9">
        <v>34064</v>
      </c>
      <c r="D11" s="14" t="s">
        <v>3</v>
      </c>
      <c r="E11" s="1"/>
      <c r="F11" s="1"/>
    </row>
    <row r="12" spans="1:6" x14ac:dyDescent="0.35">
      <c r="A12" s="1"/>
      <c r="B12" s="48" t="s">
        <v>236</v>
      </c>
      <c r="C12" s="9">
        <v>79175</v>
      </c>
      <c r="D12" s="14" t="s">
        <v>3</v>
      </c>
      <c r="E12" s="1"/>
      <c r="F12" s="1"/>
    </row>
    <row r="13" spans="1:6" x14ac:dyDescent="0.35">
      <c r="A13" s="1"/>
      <c r="B13" s="48" t="s">
        <v>237</v>
      </c>
      <c r="C13" s="9">
        <v>348844</v>
      </c>
      <c r="D13" s="14" t="s">
        <v>3</v>
      </c>
      <c r="E13" s="1"/>
      <c r="F13" s="1"/>
    </row>
    <row r="14" spans="1:6" x14ac:dyDescent="0.35">
      <c r="A14" s="1"/>
      <c r="B14" s="51" t="s">
        <v>250</v>
      </c>
      <c r="C14" s="57">
        <v>149510</v>
      </c>
      <c r="D14" s="14" t="s">
        <v>3</v>
      </c>
      <c r="E14" s="1"/>
      <c r="F14" s="1"/>
    </row>
    <row r="15" spans="1:6" x14ac:dyDescent="0.35">
      <c r="A15" s="1"/>
      <c r="B15" s="51" t="s">
        <v>251</v>
      </c>
      <c r="C15" s="57">
        <v>393367</v>
      </c>
      <c r="D15" s="14" t="s">
        <v>3</v>
      </c>
      <c r="E15" s="1"/>
      <c r="F15" s="1"/>
    </row>
    <row r="16" spans="1:6" x14ac:dyDescent="0.35">
      <c r="A16" s="1"/>
      <c r="B16" s="51" t="s">
        <v>252</v>
      </c>
      <c r="C16" s="57">
        <v>62645</v>
      </c>
      <c r="D16" s="14" t="s">
        <v>3</v>
      </c>
      <c r="E16" s="1"/>
      <c r="F16" s="1"/>
    </row>
    <row r="17" spans="1:6" x14ac:dyDescent="0.35">
      <c r="A17" s="1"/>
      <c r="B17" s="51" t="s">
        <v>253</v>
      </c>
      <c r="C17" s="57">
        <v>29429</v>
      </c>
      <c r="D17" s="14" t="s">
        <v>3</v>
      </c>
      <c r="E17" s="1"/>
      <c r="F17" s="1"/>
    </row>
    <row r="18" spans="1:6" x14ac:dyDescent="0.35">
      <c r="A18" s="1"/>
      <c r="B18" s="51" t="s">
        <v>254</v>
      </c>
      <c r="C18" s="57">
        <v>259055</v>
      </c>
      <c r="D18" s="14" t="s">
        <v>3</v>
      </c>
      <c r="E18" s="1"/>
      <c r="F18" s="1"/>
    </row>
    <row r="19" spans="1:6" x14ac:dyDescent="0.35">
      <c r="A19" s="1"/>
      <c r="B19" s="55" t="s">
        <v>255</v>
      </c>
      <c r="C19" s="57">
        <v>2199</v>
      </c>
      <c r="D19" s="14" t="s">
        <v>256</v>
      </c>
      <c r="E19" s="1"/>
      <c r="F19" s="1"/>
    </row>
    <row r="20" spans="1:6" x14ac:dyDescent="0.35">
      <c r="A20" s="1"/>
      <c r="B20" s="39" t="s">
        <v>71</v>
      </c>
      <c r="C20" s="12">
        <f>SUM(C10:C19)</f>
        <v>7203979</v>
      </c>
      <c r="D20" s="13" t="s">
        <v>3</v>
      </c>
      <c r="E20" s="1"/>
      <c r="F20" s="1"/>
    </row>
    <row r="21" spans="1:6" x14ac:dyDescent="0.35">
      <c r="A21" s="1"/>
      <c r="B21" s="39" t="s">
        <v>72</v>
      </c>
      <c r="C21" s="12">
        <f>C20*(1+'Fane 14. Nøgletal'!C12)^2</f>
        <v>7490611.5648101103</v>
      </c>
      <c r="D21" s="13" t="s">
        <v>3</v>
      </c>
      <c r="E21" s="1"/>
      <c r="F21" s="1"/>
    </row>
    <row r="22" spans="1:6" x14ac:dyDescent="0.35">
      <c r="A22" s="1"/>
      <c r="B22" s="16"/>
      <c r="C22" s="15"/>
      <c r="D22" s="15"/>
      <c r="E22" s="1"/>
      <c r="F22" s="1"/>
    </row>
    <row r="23" spans="1:6" x14ac:dyDescent="0.35">
      <c r="A23" s="1"/>
      <c r="B23" s="16"/>
      <c r="C23" s="15"/>
      <c r="D23" s="15"/>
      <c r="E23" s="1"/>
      <c r="F23" s="1"/>
    </row>
    <row r="24" spans="1:6" x14ac:dyDescent="0.35">
      <c r="A24" s="1"/>
      <c r="B24" s="1"/>
      <c r="C24" s="1"/>
      <c r="D24" s="1"/>
      <c r="E24" s="1"/>
      <c r="F24" s="1"/>
    </row>
    <row r="25" spans="1:6" x14ac:dyDescent="0.35">
      <c r="A25" s="1"/>
      <c r="B25" s="1"/>
      <c r="C25" s="1"/>
      <c r="D25" s="1"/>
      <c r="E25" s="1"/>
      <c r="F25" s="1"/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1"/>
      <c r="B27" s="1"/>
      <c r="C27" s="1"/>
      <c r="D27" s="1"/>
      <c r="E27" s="1"/>
      <c r="F27" s="1"/>
    </row>
    <row r="28" spans="1:6" x14ac:dyDescent="0.35">
      <c r="A28" s="1"/>
      <c r="B28" s="1"/>
      <c r="C28" s="1"/>
      <c r="D28" s="1"/>
      <c r="E28" s="1"/>
      <c r="F28" s="1"/>
    </row>
    <row r="29" spans="1:6" x14ac:dyDescent="0.35">
      <c r="A29" s="1"/>
      <c r="B29" s="1"/>
      <c r="C29" s="1"/>
      <c r="D29" s="1"/>
      <c r="E29" s="1"/>
      <c r="F29" s="1"/>
    </row>
    <row r="30" spans="1:6" x14ac:dyDescent="0.35">
      <c r="A30" s="1"/>
      <c r="B30" s="1"/>
      <c r="C30" s="1"/>
      <c r="D30" s="1"/>
      <c r="E30" s="1"/>
      <c r="F30" s="1"/>
    </row>
    <row r="31" spans="1:6" x14ac:dyDescent="0.35">
      <c r="A31" s="1"/>
      <c r="B31" s="1"/>
      <c r="C31" s="1"/>
      <c r="D31" s="1"/>
      <c r="E31" s="1"/>
      <c r="F31" s="1"/>
    </row>
    <row r="32" spans="1:6" x14ac:dyDescent="0.35">
      <c r="A32" s="1"/>
      <c r="B32" s="1"/>
      <c r="C32" s="1"/>
      <c r="D32" s="1"/>
      <c r="E32" s="1"/>
      <c r="F32" s="1"/>
    </row>
    <row r="33" spans="1:6" x14ac:dyDescent="0.35">
      <c r="A33" s="1"/>
      <c r="B33" s="1"/>
      <c r="C33" s="1"/>
      <c r="D33" s="1"/>
      <c r="E33" s="1"/>
      <c r="F33" s="1"/>
    </row>
    <row r="34" spans="1:6" x14ac:dyDescent="0.35">
      <c r="A34" s="1"/>
      <c r="B34" s="1"/>
      <c r="C34" s="1"/>
      <c r="D34" s="1"/>
      <c r="E34" s="1"/>
      <c r="F34" s="1"/>
    </row>
    <row r="35" spans="1:6" x14ac:dyDescent="0.35">
      <c r="A35" s="1"/>
      <c r="B35" s="1"/>
      <c r="C35" s="1"/>
      <c r="D35" s="1"/>
      <c r="E35" s="1"/>
      <c r="F35" s="1"/>
    </row>
    <row r="36" spans="1:6" x14ac:dyDescent="0.35">
      <c r="A36" s="1"/>
      <c r="B36" s="1"/>
      <c r="C36" s="1"/>
      <c r="D36" s="1"/>
      <c r="E36" s="1"/>
      <c r="F36" s="1"/>
    </row>
    <row r="37" spans="1:6" x14ac:dyDescent="0.35">
      <c r="A37" s="1"/>
      <c r="B37" s="1"/>
      <c r="C37" s="1"/>
      <c r="D37" s="1"/>
      <c r="E37" s="1"/>
      <c r="F37" s="1"/>
    </row>
    <row r="38" spans="1:6" x14ac:dyDescent="0.35">
      <c r="A38" s="1"/>
      <c r="B38" s="1"/>
      <c r="C38" s="1"/>
      <c r="D38" s="1"/>
      <c r="E38" s="1"/>
      <c r="F38" s="1"/>
    </row>
    <row r="39" spans="1:6" x14ac:dyDescent="0.35">
      <c r="A39" s="1"/>
      <c r="B39" s="1"/>
      <c r="C39" s="1"/>
      <c r="D39" s="1"/>
      <c r="E39" s="1"/>
      <c r="F39" s="1"/>
    </row>
    <row r="40" spans="1:6" x14ac:dyDescent="0.35">
      <c r="A40" s="1"/>
      <c r="B40" s="1"/>
      <c r="C40" s="1"/>
      <c r="D40" s="1"/>
      <c r="E40" s="1"/>
      <c r="F40" s="1"/>
    </row>
    <row r="41" spans="1:6" x14ac:dyDescent="0.35">
      <c r="A41" s="1"/>
      <c r="B41" s="1"/>
      <c r="C41" s="1"/>
      <c r="D41" s="1"/>
      <c r="E41" s="1"/>
      <c r="F41" s="1"/>
    </row>
    <row r="42" spans="1:6" x14ac:dyDescent="0.35">
      <c r="A42" s="1"/>
      <c r="B42" s="1"/>
      <c r="C42" s="1"/>
      <c r="D42" s="1"/>
      <c r="E42" s="1"/>
      <c r="F42" s="1"/>
    </row>
    <row r="43" spans="1:6" x14ac:dyDescent="0.35">
      <c r="A43" s="1"/>
      <c r="B43" s="1"/>
      <c r="C43" s="1"/>
      <c r="D43" s="1"/>
      <c r="E43" s="1"/>
      <c r="F43" s="1"/>
    </row>
    <row r="44" spans="1:6" x14ac:dyDescent="0.35">
      <c r="A44" s="1"/>
      <c r="B44" s="1"/>
      <c r="C44" s="1"/>
      <c r="D44" s="1"/>
      <c r="E44" s="1"/>
      <c r="F44" s="1"/>
    </row>
    <row r="45" spans="1:6" x14ac:dyDescent="0.35">
      <c r="A45" s="1"/>
      <c r="B45" s="1"/>
      <c r="C45" s="1"/>
      <c r="D45" s="1"/>
      <c r="E45" s="1"/>
      <c r="F45" s="1"/>
    </row>
    <row r="46" spans="1:6" x14ac:dyDescent="0.35">
      <c r="A46" s="1"/>
      <c r="B46" s="1"/>
      <c r="C46" s="1"/>
      <c r="D46" s="1"/>
      <c r="E46" s="1"/>
      <c r="F46" s="1"/>
    </row>
    <row r="47" spans="1:6" x14ac:dyDescent="0.35">
      <c r="A47" s="1"/>
      <c r="B47" s="1"/>
      <c r="C47" s="1"/>
      <c r="D47" s="1"/>
      <c r="E47" s="1"/>
      <c r="F47" s="1"/>
    </row>
    <row r="48" spans="1:6" x14ac:dyDescent="0.35">
      <c r="A48" s="1"/>
      <c r="B48" s="1"/>
      <c r="C48" s="1"/>
      <c r="D48" s="1"/>
      <c r="E48" s="1"/>
      <c r="F48" s="1"/>
    </row>
    <row r="49" spans="1:6" x14ac:dyDescent="0.35">
      <c r="A49" s="1"/>
      <c r="B49" s="1"/>
      <c r="C49" s="1"/>
      <c r="D49" s="1"/>
      <c r="E49" s="1"/>
      <c r="F49" s="1"/>
    </row>
    <row r="50" spans="1:6" x14ac:dyDescent="0.35">
      <c r="A50" s="1"/>
      <c r="B50" s="1"/>
      <c r="C50" s="1"/>
      <c r="D50" s="1"/>
      <c r="E50" s="1"/>
      <c r="F50" s="1"/>
    </row>
    <row r="51" spans="1:6" x14ac:dyDescent="0.35">
      <c r="A51" s="1"/>
      <c r="B51" s="1"/>
      <c r="C51" s="1"/>
      <c r="D51" s="1"/>
      <c r="E51" s="1"/>
      <c r="F51" s="1"/>
    </row>
    <row r="52" spans="1:6" x14ac:dyDescent="0.35">
      <c r="A52" s="1"/>
      <c r="B52" s="1"/>
      <c r="C52" s="1"/>
      <c r="D52" s="1"/>
      <c r="E52" s="1"/>
      <c r="F52" s="1"/>
    </row>
    <row r="53" spans="1:6" x14ac:dyDescent="0.35">
      <c r="A53" s="1"/>
      <c r="B53" s="1"/>
      <c r="C53" s="1"/>
      <c r="D53" s="1"/>
      <c r="E53" s="1"/>
      <c r="F53" s="1"/>
    </row>
    <row r="54" spans="1:6" x14ac:dyDescent="0.35">
      <c r="A54" s="1"/>
      <c r="B54" s="1"/>
      <c r="C54" s="1"/>
      <c r="D54" s="1"/>
      <c r="E54" s="1"/>
      <c r="F54" s="1"/>
    </row>
    <row r="55" spans="1:6" x14ac:dyDescent="0.35">
      <c r="A55" s="1"/>
      <c r="B55" s="1"/>
      <c r="C55" s="1"/>
      <c r="D55" s="1"/>
      <c r="E55" s="1"/>
      <c r="F55" s="1"/>
    </row>
  </sheetData>
  <sheetProtection algorithmName="SHA-512" hashValue="KTuOCiUhA0r1Ocvdw5QzAKO0xGhUmkqmy67hRnR45pgi8KYQe48/7mPyqwsG0UOtAvgygMwO3KYGExqX9ge3pg==" saltValue="i3iJBggmAhY8ybJ0cHk49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08984375" defaultRowHeight="14.5" x14ac:dyDescent="0.35"/>
  <cols>
    <col min="1" max="1" width="3.6328125" style="2" customWidth="1"/>
    <col min="2" max="3" width="9.08984375" style="2"/>
    <col min="4" max="4" width="47.7265625" style="2" customWidth="1"/>
    <col min="5" max="5" width="10.7265625" style="2" customWidth="1"/>
    <col min="6" max="6" width="3.26953125" style="2" customWidth="1"/>
    <col min="7" max="7" width="2.3632812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9.25" customHeight="1" x14ac:dyDescent="0.35">
      <c r="A3" s="1"/>
      <c r="B3" s="98" t="s">
        <v>205</v>
      </c>
      <c r="C3" s="98"/>
      <c r="D3" s="98"/>
      <c r="E3" s="98"/>
      <c r="F3" s="98"/>
      <c r="G3" s="1"/>
    </row>
    <row r="4" spans="1:7" ht="15" customHeight="1" x14ac:dyDescent="0.35">
      <c r="A4" s="1"/>
      <c r="B4" s="98"/>
      <c r="C4" s="98"/>
      <c r="D4" s="98"/>
      <c r="E4" s="98"/>
      <c r="F4" s="98"/>
      <c r="G4" s="1"/>
    </row>
    <row r="5" spans="1:7" ht="15" customHeight="1" x14ac:dyDescent="0.35">
      <c r="A5" s="1"/>
      <c r="B5" s="43"/>
      <c r="C5" s="43"/>
      <c r="D5" s="43"/>
      <c r="E5" s="43"/>
      <c r="F5" s="43"/>
      <c r="G5" s="1"/>
    </row>
    <row r="6" spans="1:7" ht="15" customHeight="1" x14ac:dyDescent="0.35">
      <c r="A6" s="1"/>
      <c r="B6" s="104" t="s">
        <v>52</v>
      </c>
      <c r="C6" s="105"/>
      <c r="D6" s="105"/>
      <c r="E6" s="105"/>
      <c r="F6" s="106"/>
      <c r="G6" s="1"/>
    </row>
    <row r="7" spans="1:7" ht="15" customHeight="1" x14ac:dyDescent="0.35">
      <c r="A7" s="1"/>
      <c r="B7" s="107" t="s">
        <v>50</v>
      </c>
      <c r="C7" s="108"/>
      <c r="D7" s="109"/>
      <c r="E7" s="9">
        <v>-59639.801666666433</v>
      </c>
      <c r="F7" s="14" t="s">
        <v>3</v>
      </c>
      <c r="G7" s="1"/>
    </row>
    <row r="8" spans="1:7" ht="15" customHeight="1" x14ac:dyDescent="0.35">
      <c r="A8" s="1"/>
      <c r="B8" s="107" t="s">
        <v>51</v>
      </c>
      <c r="C8" s="108"/>
      <c r="D8" s="109"/>
      <c r="E8" s="9">
        <v>-514720.49719746038</v>
      </c>
      <c r="F8" s="14" t="s">
        <v>3</v>
      </c>
      <c r="G8" s="1"/>
    </row>
    <row r="9" spans="1:7" ht="15" customHeight="1" x14ac:dyDescent="0.35">
      <c r="A9" s="1"/>
      <c r="B9" s="115" t="s">
        <v>186</v>
      </c>
      <c r="C9" s="116"/>
      <c r="D9" s="117"/>
      <c r="E9" s="10">
        <f>SUM(E7:E8)</f>
        <v>-574360.29886412679</v>
      </c>
      <c r="F9" s="17" t="s">
        <v>3</v>
      </c>
      <c r="G9" s="1"/>
    </row>
    <row r="10" spans="1:7" ht="15" customHeight="1" x14ac:dyDescent="0.35">
      <c r="A10" s="1"/>
      <c r="B10" s="39"/>
      <c r="C10" s="40"/>
      <c r="D10" s="40"/>
      <c r="E10" s="40"/>
      <c r="F10" s="22"/>
      <c r="G10" s="1"/>
    </row>
    <row r="11" spans="1:7" ht="28.5" customHeight="1" x14ac:dyDescent="0.35">
      <c r="A11" s="1"/>
      <c r="B11" s="83" t="s">
        <v>188</v>
      </c>
      <c r="C11" s="84"/>
      <c r="D11" s="84"/>
      <c r="E11" s="84"/>
      <c r="F11" s="85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04" t="s">
        <v>165</v>
      </c>
      <c r="C14" s="105"/>
      <c r="D14" s="105"/>
      <c r="E14" s="105"/>
      <c r="F14" s="106"/>
      <c r="G14" s="1"/>
    </row>
    <row r="15" spans="1:7" x14ac:dyDescent="0.35">
      <c r="A15" s="1"/>
      <c r="B15" s="107" t="s">
        <v>166</v>
      </c>
      <c r="C15" s="108"/>
      <c r="D15" s="109"/>
      <c r="E15" s="9">
        <v>20626580.428983729</v>
      </c>
      <c r="F15" s="14" t="s">
        <v>3</v>
      </c>
      <c r="G15" s="1"/>
    </row>
    <row r="16" spans="1:7" x14ac:dyDescent="0.35">
      <c r="A16" s="1"/>
      <c r="B16" s="107" t="s">
        <v>167</v>
      </c>
      <c r="C16" s="108"/>
      <c r="D16" s="109"/>
      <c r="E16" s="9">
        <v>21351048</v>
      </c>
      <c r="F16" s="14" t="s">
        <v>3</v>
      </c>
      <c r="G16" s="1"/>
    </row>
    <row r="17" spans="1:7" x14ac:dyDescent="0.35">
      <c r="A17" s="1"/>
      <c r="B17" s="107" t="s">
        <v>49</v>
      </c>
      <c r="C17" s="108"/>
      <c r="D17" s="109"/>
      <c r="E17" s="9">
        <v>0</v>
      </c>
      <c r="F17" s="14" t="s">
        <v>3</v>
      </c>
      <c r="G17" s="1"/>
    </row>
    <row r="18" spans="1:7" x14ac:dyDescent="0.35">
      <c r="A18" s="1"/>
      <c r="B18" s="115" t="s">
        <v>187</v>
      </c>
      <c r="C18" s="116"/>
      <c r="D18" s="117"/>
      <c r="E18" s="10">
        <f>E15-(E16-E17)</f>
        <v>-724467.57101627067</v>
      </c>
      <c r="F18" s="17" t="s">
        <v>3</v>
      </c>
      <c r="G18" s="1"/>
    </row>
    <row r="19" spans="1:7" x14ac:dyDescent="0.35">
      <c r="A19" s="1"/>
      <c r="B19" s="39"/>
      <c r="C19" s="40"/>
      <c r="D19" s="40"/>
      <c r="E19" s="40"/>
      <c r="F19" s="22"/>
      <c r="G19" s="1"/>
    </row>
    <row r="20" spans="1:7" ht="30" customHeight="1" x14ac:dyDescent="0.35">
      <c r="A20" s="1"/>
      <c r="B20" s="83" t="s">
        <v>189</v>
      </c>
      <c r="C20" s="84"/>
      <c r="D20" s="84"/>
      <c r="E20" s="84"/>
      <c r="F20" s="85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04" t="s">
        <v>77</v>
      </c>
      <c r="C23" s="105"/>
      <c r="D23" s="105"/>
      <c r="E23" s="105"/>
      <c r="F23" s="106"/>
      <c r="G23" s="1"/>
    </row>
    <row r="24" spans="1:7" x14ac:dyDescent="0.35">
      <c r="A24" s="1"/>
      <c r="B24" s="107" t="s">
        <v>78</v>
      </c>
      <c r="C24" s="108"/>
      <c r="D24" s="109"/>
      <c r="E24" s="9">
        <v>22362958.442445189</v>
      </c>
      <c r="F24" s="14" t="s">
        <v>3</v>
      </c>
      <c r="G24" s="1"/>
    </row>
    <row r="25" spans="1:7" x14ac:dyDescent="0.35">
      <c r="A25" s="1"/>
      <c r="B25" s="107" t="s">
        <v>79</v>
      </c>
      <c r="C25" s="108"/>
      <c r="D25" s="109"/>
      <c r="E25" s="9">
        <v>21470612</v>
      </c>
      <c r="F25" s="14" t="s">
        <v>3</v>
      </c>
      <c r="G25" s="1"/>
    </row>
    <row r="26" spans="1:7" x14ac:dyDescent="0.35">
      <c r="A26" s="1"/>
      <c r="B26" s="107" t="s">
        <v>49</v>
      </c>
      <c r="C26" s="108"/>
      <c r="D26" s="109"/>
      <c r="E26" s="9">
        <v>0</v>
      </c>
      <c r="F26" s="14" t="s">
        <v>3</v>
      </c>
      <c r="G26" s="1"/>
    </row>
    <row r="27" spans="1:7" x14ac:dyDescent="0.35">
      <c r="A27" s="1"/>
      <c r="B27" s="115" t="s">
        <v>187</v>
      </c>
      <c r="C27" s="116"/>
      <c r="D27" s="117"/>
      <c r="E27" s="10">
        <f>E24-(E25-E26)</f>
        <v>892346.44244518876</v>
      </c>
      <c r="F27" s="17" t="s">
        <v>3</v>
      </c>
      <c r="G27" s="1"/>
    </row>
    <row r="28" spans="1:7" x14ac:dyDescent="0.35">
      <c r="A28" s="1"/>
      <c r="B28" s="39"/>
      <c r="C28" s="40"/>
      <c r="D28" s="40"/>
      <c r="E28" s="40"/>
      <c r="F28" s="22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04" t="s">
        <v>243</v>
      </c>
      <c r="C31" s="105"/>
      <c r="D31" s="105"/>
      <c r="E31" s="105"/>
      <c r="F31" s="106"/>
      <c r="G31" s="1"/>
    </row>
    <row r="32" spans="1:7" x14ac:dyDescent="0.35">
      <c r="A32" s="1"/>
      <c r="B32" s="115" t="s">
        <v>244</v>
      </c>
      <c r="C32" s="116"/>
      <c r="D32" s="117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AND(E27&gt;0,E27&gt;(E18+E27),(E18+E27)&gt;0),-E18,IF(E27+E9+E18&gt;0,E27-(E27+E9+E18),IF(E27+E9+E18=0,E27,IF(AND(E27&gt;0,E27+E9+E18&lt;0),E27,0)))),0)))))</f>
        <v>75053.636076071998</v>
      </c>
      <c r="F32" s="17" t="s">
        <v>3</v>
      </c>
      <c r="G32" s="1"/>
    </row>
    <row r="33" spans="1:7" x14ac:dyDescent="0.35">
      <c r="A33" s="1"/>
      <c r="B33" s="104"/>
      <c r="C33" s="105"/>
      <c r="D33" s="105"/>
      <c r="E33" s="105"/>
      <c r="F33" s="106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04" t="s">
        <v>180</v>
      </c>
      <c r="C36" s="105"/>
      <c r="D36" s="105"/>
      <c r="E36" s="105"/>
      <c r="F36" s="106"/>
      <c r="G36" s="1"/>
    </row>
    <row r="37" spans="1:7" x14ac:dyDescent="0.35">
      <c r="A37" s="1"/>
      <c r="B37" s="118" t="s">
        <v>53</v>
      </c>
      <c r="C37" s="119"/>
      <c r="D37" s="120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35">
      <c r="A38" s="1"/>
      <c r="B38" s="118" t="s">
        <v>185</v>
      </c>
      <c r="C38" s="119"/>
      <c r="D38" s="120"/>
      <c r="E38" s="9">
        <v>2</v>
      </c>
      <c r="F38" s="14" t="s">
        <v>27</v>
      </c>
      <c r="G38" s="1"/>
    </row>
    <row r="39" spans="1:7" ht="15" customHeight="1" x14ac:dyDescent="0.35">
      <c r="A39" s="1"/>
      <c r="B39" s="115" t="s">
        <v>227</v>
      </c>
      <c r="C39" s="116"/>
      <c r="D39" s="117"/>
      <c r="E39" s="10">
        <f>E37/E38</f>
        <v>0</v>
      </c>
      <c r="F39" s="17" t="s">
        <v>3</v>
      </c>
      <c r="G39" s="1"/>
    </row>
    <row r="40" spans="1:7" x14ac:dyDescent="0.35">
      <c r="A40" s="1"/>
      <c r="B40" s="104"/>
      <c r="C40" s="105"/>
      <c r="D40" s="105"/>
      <c r="E40" s="105"/>
      <c r="F40" s="106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</sheetData>
  <sheetProtection algorithmName="SHA-512" hashValue="8b38jR7qaHJBQAvvbaKdDbg/aOcKVfRPjvHWSxLWok/ih8ZFp2GoGKCO2IHMjJW+70LO8FjQuQw397JAXOGqQw==" saltValue="CyHFBexHmqdF430Yq2he3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08984375" defaultRowHeight="14.5" x14ac:dyDescent="0.35"/>
  <cols>
    <col min="1" max="1" width="3.6328125" style="2" customWidth="1"/>
    <col min="2" max="3" width="9.08984375" style="2"/>
    <col min="4" max="4" width="47.08984375" style="2" customWidth="1"/>
    <col min="5" max="5" width="10.7265625" style="2" customWidth="1"/>
    <col min="6" max="6" width="3.26953125" style="2" customWidth="1"/>
    <col min="7" max="7" width="2.3632812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29.25" customHeight="1" x14ac:dyDescent="0.35">
      <c r="A3" s="1"/>
      <c r="B3" s="98" t="s">
        <v>228</v>
      </c>
      <c r="C3" s="98"/>
      <c r="D3" s="98"/>
      <c r="E3" s="98"/>
      <c r="F3" s="98"/>
      <c r="G3" s="1"/>
    </row>
    <row r="4" spans="1:7" ht="15" customHeight="1" x14ac:dyDescent="0.35">
      <c r="A4" s="1"/>
      <c r="B4" s="98"/>
      <c r="C4" s="98"/>
      <c r="D4" s="98"/>
      <c r="E4" s="98"/>
      <c r="F4" s="98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04" t="s">
        <v>159</v>
      </c>
      <c r="C8" s="105"/>
      <c r="D8" s="105"/>
      <c r="E8" s="105"/>
      <c r="F8" s="105"/>
      <c r="G8" s="1"/>
    </row>
    <row r="9" spans="1:7" ht="29.25" customHeight="1" x14ac:dyDescent="0.3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26321.202140398556</v>
      </c>
      <c r="F9" s="11" t="s">
        <v>3</v>
      </c>
      <c r="G9" s="1"/>
    </row>
    <row r="10" spans="1:7" x14ac:dyDescent="0.35">
      <c r="A10" s="1"/>
      <c r="B10" s="39" t="s">
        <v>175</v>
      </c>
      <c r="C10" s="40"/>
      <c r="D10" s="40"/>
      <c r="E10" s="12">
        <f>E9</f>
        <v>26321.202140398556</v>
      </c>
      <c r="F10" s="13" t="s">
        <v>3</v>
      </c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</sheetData>
  <sheetProtection algorithmName="SHA-512" hashValue="Irx2x2l8H68dXzsqTWAbLVGM3AWf2C2VRmcYWRAJmc/G1bEsCCC8B841aEJ5er3bdZiHgy5a94tBSOBEhK/M2g==" saltValue="Dq+jFIHQCnF5KKqijFfan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08984375" defaultRowHeight="14.5" x14ac:dyDescent="0.35"/>
  <cols>
    <col min="1" max="1" width="4.7265625" style="2" customWidth="1"/>
    <col min="2" max="2" width="22.6328125" style="2" customWidth="1"/>
    <col min="3" max="3" width="8.26953125" style="2" customWidth="1"/>
    <col min="4" max="6" width="10.7265625" style="2" customWidth="1"/>
    <col min="7" max="7" width="11.08984375" style="2" customWidth="1"/>
    <col min="8" max="8" width="3.26953125" style="2" customWidth="1"/>
    <col min="9" max="9" width="4.81640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81" t="s">
        <v>229</v>
      </c>
      <c r="C3" s="81"/>
      <c r="D3" s="81"/>
      <c r="E3" s="81"/>
      <c r="F3" s="81"/>
      <c r="G3" s="81"/>
      <c r="H3" s="81"/>
      <c r="I3" s="1"/>
    </row>
    <row r="4" spans="1:9" ht="15" customHeight="1" x14ac:dyDescent="0.3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104" t="s">
        <v>230</v>
      </c>
      <c r="C8" s="105"/>
      <c r="D8" s="105"/>
      <c r="E8" s="105"/>
      <c r="F8" s="105"/>
      <c r="G8" s="105"/>
      <c r="H8" s="106"/>
      <c r="I8" s="1"/>
    </row>
    <row r="9" spans="1:9" ht="39.75" customHeight="1" x14ac:dyDescent="0.3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35">
      <c r="A10" s="1"/>
      <c r="B10" s="52" t="s">
        <v>241</v>
      </c>
      <c r="C10" s="53"/>
      <c r="D10" s="9"/>
      <c r="E10" s="9"/>
      <c r="F10" s="9"/>
      <c r="G10" s="9"/>
      <c r="H10" s="14" t="s">
        <v>3</v>
      </c>
      <c r="I10" s="1"/>
    </row>
    <row r="11" spans="1:9" x14ac:dyDescent="0.35">
      <c r="A11" s="1"/>
      <c r="B11" s="104" t="s">
        <v>231</v>
      </c>
      <c r="C11" s="105"/>
      <c r="D11" s="10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AXv0AWSve7o3iOiQoEAnof45B9+owqczvDxHiDD37g6Ejb1EDmmFoAj+YGRJJRJ2XoeqhKblrwj5e00j1C0uA==" saltValue="bA1gBcxh+pdgKknOTX41q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5"/>
  <sheetViews>
    <sheetView showGridLines="0" view="pageLayout" topLeftCell="A4" zoomScaleNormal="100" workbookViewId="0">
      <selection activeCell="E13" sqref="E13:E16"/>
    </sheetView>
  </sheetViews>
  <sheetFormatPr defaultColWidth="9.08984375" defaultRowHeight="14.5" x14ac:dyDescent="0.35"/>
  <cols>
    <col min="1" max="1" width="5.08984375" style="2" customWidth="1"/>
    <col min="2" max="2" width="34.36328125" style="2" customWidth="1"/>
    <col min="3" max="3" width="16.26953125" style="2" customWidth="1"/>
    <col min="4" max="4" width="3.26953125" style="2" customWidth="1"/>
    <col min="5" max="5" width="19.0898437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81" t="s">
        <v>206</v>
      </c>
      <c r="C3" s="81"/>
      <c r="D3" s="81"/>
      <c r="E3" s="81"/>
      <c r="F3" s="81"/>
      <c r="G3" s="1"/>
    </row>
    <row r="4" spans="1:7" ht="15" customHeight="1" x14ac:dyDescent="0.35">
      <c r="A4" s="1"/>
      <c r="B4" s="81"/>
      <c r="C4" s="81"/>
      <c r="D4" s="81"/>
      <c r="E4" s="81"/>
      <c r="F4" s="8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3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35">
      <c r="A10" s="1"/>
      <c r="B10" s="27" t="s">
        <v>242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35">
      <c r="A11" s="1"/>
      <c r="B11" s="54" t="s">
        <v>238</v>
      </c>
      <c r="C11" s="24">
        <v>0</v>
      </c>
      <c r="D11" s="14" t="s">
        <v>3</v>
      </c>
      <c r="E11" s="9">
        <v>8193</v>
      </c>
      <c r="F11" s="14" t="s">
        <v>3</v>
      </c>
      <c r="G11" s="1"/>
    </row>
    <row r="12" spans="1:7" x14ac:dyDescent="0.35">
      <c r="A12" s="1"/>
      <c r="B12" s="27" t="s">
        <v>239</v>
      </c>
      <c r="C12" s="24">
        <v>0</v>
      </c>
      <c r="D12" s="14" t="s">
        <v>3</v>
      </c>
      <c r="E12" s="9">
        <v>2720</v>
      </c>
      <c r="F12" s="14" t="s">
        <v>3</v>
      </c>
      <c r="G12" s="1"/>
    </row>
    <row r="13" spans="1:7" x14ac:dyDescent="0.35">
      <c r="A13" s="1"/>
      <c r="B13" s="27" t="s">
        <v>246</v>
      </c>
      <c r="C13" s="56">
        <f>439520*(1-0.252)*(1+'Fane 14. Nøgletal'!C10)</f>
        <v>334514.27680000005</v>
      </c>
      <c r="D13" s="14" t="s">
        <v>3</v>
      </c>
      <c r="E13" s="57">
        <f>460475*(1-0.252)*(1+'Fane 14. Nøgletal'!C10)</f>
        <v>350462.91775000002</v>
      </c>
      <c r="F13" s="14" t="s">
        <v>3</v>
      </c>
      <c r="G13" s="1"/>
    </row>
    <row r="14" spans="1:7" x14ac:dyDescent="0.35">
      <c r="A14" s="1"/>
      <c r="B14" s="27" t="s">
        <v>247</v>
      </c>
      <c r="C14" s="56">
        <f>642732*(1-0.252)*(1+'Fane 14. Nøgletal'!C10)</f>
        <v>489176.89788000006</v>
      </c>
      <c r="D14" s="14" t="s">
        <v>3</v>
      </c>
      <c r="E14" s="57">
        <f>454253*(1-0.252)*(1+'Fane 14. Nøgletal'!C10)</f>
        <v>345727.41577000002</v>
      </c>
      <c r="F14" s="14" t="s">
        <v>3</v>
      </c>
      <c r="G14" s="1"/>
    </row>
    <row r="15" spans="1:7" x14ac:dyDescent="0.35">
      <c r="A15" s="1"/>
      <c r="B15" s="27" t="s">
        <v>248</v>
      </c>
      <c r="C15" s="56">
        <f>88478*(1-0.252)*(1+'Fane 14. Nøgletal'!C10)</f>
        <v>67339.721019999997</v>
      </c>
      <c r="D15" s="14" t="s">
        <v>3</v>
      </c>
      <c r="E15" s="57">
        <f>94597*(1-0.252)*(1+'Fane 14. Nøgletal'!C10)</f>
        <v>71996.830730000001</v>
      </c>
      <c r="F15" s="14" t="s">
        <v>3</v>
      </c>
      <c r="G15" s="1"/>
    </row>
    <row r="16" spans="1:7" x14ac:dyDescent="0.35">
      <c r="A16" s="1"/>
      <c r="B16" s="27" t="s">
        <v>249</v>
      </c>
      <c r="C16" s="56">
        <f>223515*(1-0.252)*(1+'Fane 14. Nøgletal'!C10)</f>
        <v>170115.03135</v>
      </c>
      <c r="D16" s="14" t="s">
        <v>3</v>
      </c>
      <c r="E16" s="57">
        <f>559871*(1-0.252)*(1+'Fane 14. Nøgletal'!C10)</f>
        <v>426112.21938999998</v>
      </c>
      <c r="F16" s="14" t="s">
        <v>3</v>
      </c>
      <c r="G16" s="1"/>
    </row>
    <row r="17" spans="1:7" x14ac:dyDescent="0.35">
      <c r="A17" s="1"/>
      <c r="B17" s="39" t="s">
        <v>63</v>
      </c>
      <c r="C17" s="12">
        <f>SUM(C10:C16)</f>
        <v>1061145.9270500003</v>
      </c>
      <c r="D17" s="13" t="s">
        <v>3</v>
      </c>
      <c r="E17" s="12">
        <f>SUM(E10:E16)</f>
        <v>1205212.3836400001</v>
      </c>
      <c r="F17" s="13" t="s">
        <v>3</v>
      </c>
      <c r="G17" s="1"/>
    </row>
    <row r="18" spans="1:7" x14ac:dyDescent="0.35">
      <c r="A18" s="1"/>
      <c r="B18" s="39" t="s">
        <v>74</v>
      </c>
      <c r="C18" s="12">
        <f>C17*(1+'Fane 14. Nøgletal'!C12)</f>
        <v>1082050.5018128853</v>
      </c>
      <c r="D18" s="13" t="s">
        <v>3</v>
      </c>
      <c r="E18" s="12">
        <f>E17*(1+'Fane 14. Nøgletal'!C12)</f>
        <v>1228955.0675977082</v>
      </c>
      <c r="F18" s="13" t="s">
        <v>3</v>
      </c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</sheetData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topLeftCell="A4" zoomScaleNormal="100" workbookViewId="0"/>
  </sheetViews>
  <sheetFormatPr defaultColWidth="9.08984375" defaultRowHeight="14.5" x14ac:dyDescent="0.35"/>
  <cols>
    <col min="1" max="1" width="5.08984375" style="2" customWidth="1"/>
    <col min="2" max="2" width="34.36328125" style="2" customWidth="1"/>
    <col min="3" max="3" width="16.26953125" style="2" customWidth="1"/>
    <col min="4" max="4" width="3.26953125" style="2" customWidth="1"/>
    <col min="5" max="5" width="19.0898437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81" t="s">
        <v>207</v>
      </c>
      <c r="C3" s="81"/>
      <c r="D3" s="81"/>
      <c r="E3" s="81"/>
      <c r="F3" s="81"/>
      <c r="G3" s="1"/>
    </row>
    <row r="4" spans="1:7" ht="15" customHeight="1" x14ac:dyDescent="0.35">
      <c r="A4" s="1"/>
      <c r="B4" s="81"/>
      <c r="C4" s="81"/>
      <c r="D4" s="81"/>
      <c r="E4" s="81"/>
      <c r="F4" s="81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04" t="s">
        <v>168</v>
      </c>
      <c r="C8" s="105"/>
      <c r="D8" s="105"/>
      <c r="E8" s="105"/>
      <c r="F8" s="106"/>
      <c r="G8" s="1"/>
    </row>
    <row r="9" spans="1:7" x14ac:dyDescent="0.3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3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3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3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3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3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04" t="s">
        <v>169</v>
      </c>
      <c r="C16" s="105"/>
      <c r="D16" s="105"/>
      <c r="E16" s="105"/>
      <c r="F16" s="106"/>
      <c r="G16" s="1"/>
    </row>
    <row r="17" spans="1:7" x14ac:dyDescent="0.3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3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3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3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3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3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04" t="s">
        <v>170</v>
      </c>
      <c r="C24" s="105"/>
      <c r="D24" s="105"/>
      <c r="E24" s="105"/>
      <c r="F24" s="106"/>
      <c r="G24" s="1"/>
    </row>
    <row r="25" spans="1:7" x14ac:dyDescent="0.3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3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3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3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3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3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04" t="s">
        <v>171</v>
      </c>
      <c r="C32" s="105"/>
      <c r="D32" s="105"/>
      <c r="E32" s="105"/>
      <c r="F32" s="106"/>
      <c r="G32" s="1"/>
    </row>
    <row r="33" spans="1:7" x14ac:dyDescent="0.3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3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3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3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3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3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</sheetData>
  <sheetProtection algorithmName="SHA-512" hashValue="YE7LdY5kMEHU26hNWG05YUQ6O2Iy86+b/MNlb7mAnOdA6NEMswdxaffLUBGEQHBGYq7HXXHrBrRYmHJbTKs/XQ==" saltValue="JveXZLS4DvRfwPefD8b+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08984375" defaultRowHeight="14.5" x14ac:dyDescent="0.35"/>
  <cols>
    <col min="1" max="1" width="5.36328125" style="2" customWidth="1"/>
    <col min="2" max="2" width="41.08984375" style="2" bestFit="1" customWidth="1"/>
    <col min="3" max="3" width="13.81640625" style="2" customWidth="1"/>
    <col min="4" max="4" width="3.26953125" style="2" customWidth="1"/>
    <col min="5" max="5" width="14.6328125" style="2" customWidth="1"/>
    <col min="6" max="6" width="3.26953125" style="2" customWidth="1"/>
    <col min="7" max="7" width="5.8164062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8" t="s">
        <v>208</v>
      </c>
      <c r="C3" s="98"/>
      <c r="D3" s="98"/>
      <c r="E3" s="98"/>
      <c r="F3" s="98"/>
      <c r="G3" s="1"/>
    </row>
    <row r="4" spans="1:7" ht="25.5" customHeight="1" x14ac:dyDescent="0.35">
      <c r="A4" s="1"/>
      <c r="B4" s="98"/>
      <c r="C4" s="98"/>
      <c r="D4" s="98"/>
      <c r="E4" s="98"/>
      <c r="F4" s="98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04" t="s">
        <v>31</v>
      </c>
      <c r="C8" s="105"/>
      <c r="D8" s="105"/>
      <c r="E8" s="105"/>
      <c r="F8" s="106"/>
      <c r="G8" s="1"/>
    </row>
    <row r="9" spans="1:7" ht="15" customHeight="1" x14ac:dyDescent="0.35">
      <c r="A9" s="1"/>
      <c r="B9" s="41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3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3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3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  <row r="32" spans="1:7" x14ac:dyDescent="0.35">
      <c r="A32" s="1"/>
      <c r="B32" s="1"/>
      <c r="C32" s="1"/>
      <c r="D32" s="1"/>
      <c r="E32" s="1"/>
      <c r="F32" s="1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</sheetData>
  <sheetProtection algorithmName="SHA-512" hashValue="FqdbmXV3Zn82ZJtuqF/lT3CfReAuObaq39s1ibq+0f2NOw1B0eVB0S1lh1C5LDBKIRkeqjGzovN3N68qd2XkpQ==" saltValue="Qeb8kk3E3X8SjhdqKQwnd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08984375" defaultRowHeight="14.5" x14ac:dyDescent="0.35"/>
  <cols>
    <col min="1" max="1" width="5.08984375" style="2" customWidth="1"/>
    <col min="2" max="2" width="36.36328125" style="2" customWidth="1"/>
    <col min="3" max="3" width="15.7265625" style="2" customWidth="1"/>
    <col min="4" max="4" width="3.26953125" style="2" customWidth="1"/>
    <col min="5" max="5" width="18.36328125" style="2" customWidth="1"/>
    <col min="6" max="6" width="3.26953125" style="2" customWidth="1"/>
    <col min="7" max="7" width="5.0898437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8" t="s">
        <v>209</v>
      </c>
      <c r="C3" s="98"/>
      <c r="D3" s="98"/>
      <c r="E3" s="98"/>
      <c r="F3" s="98"/>
      <c r="G3" s="1"/>
    </row>
    <row r="4" spans="1:7" ht="25.5" customHeight="1" x14ac:dyDescent="0.35">
      <c r="A4" s="1"/>
      <c r="B4" s="98"/>
      <c r="C4" s="98"/>
      <c r="D4" s="98"/>
      <c r="E4" s="98"/>
      <c r="F4" s="98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104" t="s">
        <v>156</v>
      </c>
      <c r="C8" s="105"/>
      <c r="D8" s="105"/>
      <c r="E8" s="105"/>
      <c r="F8" s="106"/>
      <c r="G8" s="1"/>
    </row>
    <row r="9" spans="1:7" ht="15" customHeight="1" x14ac:dyDescent="0.3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3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3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3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  <c r="E14" s="1"/>
      <c r="F14" s="1"/>
      <c r="G14" s="1"/>
    </row>
    <row r="15" spans="1:7" x14ac:dyDescent="0.35">
      <c r="A15" s="1"/>
      <c r="B15" s="104" t="s">
        <v>157</v>
      </c>
      <c r="C15" s="105"/>
      <c r="D15" s="105"/>
      <c r="E15" s="105"/>
      <c r="F15" s="106"/>
      <c r="G15" s="1"/>
    </row>
    <row r="16" spans="1:7" x14ac:dyDescent="0.3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3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3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3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04" t="s">
        <v>155</v>
      </c>
      <c r="C22" s="105"/>
      <c r="D22" s="105"/>
      <c r="E22" s="105"/>
      <c r="F22" s="106"/>
      <c r="G22" s="1"/>
    </row>
    <row r="23" spans="1:7" x14ac:dyDescent="0.3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3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3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3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04" t="s">
        <v>158</v>
      </c>
      <c r="C29" s="105"/>
      <c r="D29" s="105"/>
      <c r="E29" s="105"/>
      <c r="F29" s="106"/>
      <c r="G29" s="1"/>
    </row>
    <row r="30" spans="1:7" x14ac:dyDescent="0.3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3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3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3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</sheetData>
  <sheetProtection algorithmName="SHA-512" hashValue="fOToKNdZK9FrRnXfj7eKnInvR8AOOr8TnuD23K7FjH1Ps1gqR9Bh8h4xEZPd2aSLcaMonFjfC4gf2366aNboNQ==" saltValue="JPAwqq9iuGjI8hJs4MOvg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3" width="9.08984375" style="2"/>
    <col min="4" max="4" width="15.08984375" style="2" customWidth="1"/>
    <col min="5" max="5" width="9.08984375" style="2"/>
    <col min="6" max="6" width="14.08984375" style="2" customWidth="1"/>
    <col min="7" max="7" width="10.26953125" style="2" customWidth="1"/>
    <col min="8" max="8" width="3.08984375" style="2" customWidth="1"/>
    <col min="9" max="9" width="9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81" t="s">
        <v>210</v>
      </c>
      <c r="C3" s="81"/>
      <c r="D3" s="81"/>
      <c r="E3" s="81"/>
      <c r="F3" s="81"/>
      <c r="G3" s="81"/>
      <c r="H3" s="81"/>
      <c r="I3" s="1"/>
    </row>
    <row r="4" spans="1:9" ht="15" customHeight="1" x14ac:dyDescent="0.3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104" t="s">
        <v>18</v>
      </c>
      <c r="C8" s="105"/>
      <c r="D8" s="105"/>
      <c r="E8" s="105"/>
      <c r="F8" s="105"/>
      <c r="G8" s="105"/>
      <c r="H8" s="106"/>
      <c r="I8" s="1"/>
    </row>
    <row r="9" spans="1:9" x14ac:dyDescent="0.35">
      <c r="A9" s="1"/>
      <c r="B9" s="107" t="s">
        <v>12</v>
      </c>
      <c r="C9" s="108"/>
      <c r="D9" s="108"/>
      <c r="E9" s="108"/>
      <c r="F9" s="109"/>
      <c r="G9" s="9">
        <v>-2218075</v>
      </c>
      <c r="H9" s="14" t="s">
        <v>3</v>
      </c>
      <c r="I9" s="1"/>
    </row>
    <row r="10" spans="1:9" x14ac:dyDescent="0.35">
      <c r="A10" s="1"/>
      <c r="B10" s="107" t="s">
        <v>135</v>
      </c>
      <c r="C10" s="108"/>
      <c r="D10" s="108"/>
      <c r="E10" s="108"/>
      <c r="F10" s="109"/>
      <c r="G10" s="9">
        <v>0</v>
      </c>
      <c r="H10" s="14" t="s">
        <v>3</v>
      </c>
      <c r="I10" s="1"/>
    </row>
    <row r="11" spans="1:9" x14ac:dyDescent="0.35">
      <c r="A11" s="1"/>
      <c r="B11" s="107" t="s">
        <v>80</v>
      </c>
      <c r="C11" s="108"/>
      <c r="D11" s="108"/>
      <c r="E11" s="108"/>
      <c r="F11" s="109"/>
      <c r="G11" s="9">
        <v>2218075</v>
      </c>
      <c r="H11" s="14" t="s">
        <v>3</v>
      </c>
      <c r="I11" s="1"/>
    </row>
    <row r="12" spans="1:9" x14ac:dyDescent="0.35">
      <c r="A12" s="1"/>
      <c r="B12" s="121" t="s">
        <v>15</v>
      </c>
      <c r="C12" s="122"/>
      <c r="D12" s="122"/>
      <c r="E12" s="122"/>
      <c r="F12" s="123"/>
      <c r="G12" s="19">
        <f>(G9+G10)+G11</f>
        <v>0</v>
      </c>
      <c r="H12" s="18" t="s">
        <v>3</v>
      </c>
      <c r="I12" s="1"/>
    </row>
    <row r="13" spans="1:9" x14ac:dyDescent="0.35">
      <c r="A13" s="1"/>
      <c r="B13" s="107" t="s">
        <v>13</v>
      </c>
      <c r="C13" s="108"/>
      <c r="D13" s="108"/>
      <c r="E13" s="108"/>
      <c r="F13" s="109"/>
      <c r="G13" s="9">
        <v>0</v>
      </c>
      <c r="H13" s="14" t="s">
        <v>27</v>
      </c>
      <c r="I13" s="1"/>
    </row>
    <row r="14" spans="1:9" x14ac:dyDescent="0.35">
      <c r="A14" s="1"/>
      <c r="B14" s="104" t="s">
        <v>136</v>
      </c>
      <c r="C14" s="105"/>
      <c r="D14" s="105"/>
      <c r="E14" s="105"/>
      <c r="F14" s="106"/>
      <c r="G14" s="12">
        <f>IF(G13 = 0,0,-G12/G13)</f>
        <v>0</v>
      </c>
      <c r="H14" s="13" t="s">
        <v>3</v>
      </c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/UqLsFtb5uSncpnz7CxtLeJyq0n0052A0exRVOHBE9L0oxFy5Qdl83gFdTB7yIvgn6RpQCasXNIEKvZjTnO+Q==" saltValue="ER+O3bsaCbPgtS5rauQnf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08984375" defaultRowHeight="14.5" x14ac:dyDescent="0.35"/>
  <cols>
    <col min="1" max="1" width="11.08984375" style="2" customWidth="1"/>
    <col min="2" max="2" width="56.08984375" style="2" customWidth="1"/>
    <col min="3" max="3" width="6.26953125" style="2" customWidth="1"/>
    <col min="4" max="4" width="12.26953125" style="2" customWidth="1"/>
    <col min="5" max="16384" width="9.08984375" style="2"/>
  </cols>
  <sheetData>
    <row r="1" spans="1:4" x14ac:dyDescent="0.35">
      <c r="A1" s="1"/>
      <c r="B1" s="1"/>
      <c r="C1" s="1"/>
      <c r="D1" s="1"/>
    </row>
    <row r="2" spans="1:4" x14ac:dyDescent="0.35">
      <c r="A2" s="1"/>
      <c r="B2" s="1"/>
      <c r="C2" s="1"/>
      <c r="D2" s="1"/>
    </row>
    <row r="3" spans="1:4" ht="15" customHeight="1" x14ac:dyDescent="0.35">
      <c r="A3" s="1"/>
      <c r="B3" s="98" t="s">
        <v>54</v>
      </c>
      <c r="C3" s="98"/>
      <c r="D3" s="1"/>
    </row>
    <row r="4" spans="1:4" ht="25.5" customHeight="1" x14ac:dyDescent="0.35">
      <c r="A4" s="1"/>
      <c r="B4" s="98"/>
      <c r="C4" s="98"/>
      <c r="D4" s="1"/>
    </row>
    <row r="5" spans="1:4" x14ac:dyDescent="0.35">
      <c r="A5" s="1"/>
      <c r="B5" s="1"/>
      <c r="C5" s="1"/>
      <c r="D5" s="1"/>
    </row>
    <row r="6" spans="1:4" x14ac:dyDescent="0.35">
      <c r="A6" s="1"/>
      <c r="B6" s="1"/>
      <c r="C6" s="1"/>
      <c r="D6" s="1"/>
    </row>
    <row r="7" spans="1:4" x14ac:dyDescent="0.35">
      <c r="A7" s="1"/>
      <c r="B7" s="1"/>
      <c r="C7" s="1"/>
      <c r="D7" s="1"/>
    </row>
    <row r="8" spans="1:4" x14ac:dyDescent="0.35">
      <c r="A8" s="1"/>
      <c r="B8" s="39" t="s">
        <v>21</v>
      </c>
      <c r="C8" s="22"/>
      <c r="D8" s="1"/>
    </row>
    <row r="9" spans="1:4" x14ac:dyDescent="0.35">
      <c r="A9" s="1"/>
      <c r="B9" s="48" t="s">
        <v>211</v>
      </c>
      <c r="C9" s="28">
        <v>1.2699999999999999E-2</v>
      </c>
      <c r="D9" s="1"/>
    </row>
    <row r="10" spans="1:4" x14ac:dyDescent="0.35">
      <c r="A10" s="1"/>
      <c r="B10" s="48" t="s">
        <v>30</v>
      </c>
      <c r="C10" s="28">
        <v>1.7500000000000002E-2</v>
      </c>
      <c r="D10" s="1"/>
    </row>
    <row r="11" spans="1:4" x14ac:dyDescent="0.35">
      <c r="A11" s="1"/>
      <c r="B11" s="48" t="s">
        <v>212</v>
      </c>
      <c r="C11" s="28">
        <v>1.6899999999999998E-2</v>
      </c>
      <c r="D11" s="1"/>
    </row>
    <row r="12" spans="1:4" x14ac:dyDescent="0.35">
      <c r="A12" s="1"/>
      <c r="B12" s="35" t="s">
        <v>73</v>
      </c>
      <c r="C12" s="36">
        <v>1.9699999999999999E-2</v>
      </c>
      <c r="D12" s="1"/>
    </row>
    <row r="13" spans="1:4" x14ac:dyDescent="0.35">
      <c r="A13" s="1"/>
      <c r="B13" s="104"/>
      <c r="C13" s="106"/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39" t="s">
        <v>181</v>
      </c>
      <c r="C16" s="22"/>
      <c r="D16" s="1"/>
    </row>
    <row r="17" spans="1:4" x14ac:dyDescent="0.35">
      <c r="A17" s="1"/>
      <c r="B17" s="48" t="s">
        <v>213</v>
      </c>
      <c r="C17" s="25">
        <v>9.1000000000000004E-3</v>
      </c>
      <c r="D17" s="1"/>
    </row>
    <row r="18" spans="1:4" x14ac:dyDescent="0.35">
      <c r="A18" s="1"/>
      <c r="B18" s="48" t="s">
        <v>214</v>
      </c>
      <c r="C18" s="25">
        <v>1.77E-2</v>
      </c>
      <c r="D18" s="1"/>
    </row>
    <row r="19" spans="1:4" x14ac:dyDescent="0.35">
      <c r="A19" s="1"/>
      <c r="B19" s="48" t="s">
        <v>215</v>
      </c>
      <c r="C19" s="25">
        <v>8.6999999999999994E-3</v>
      </c>
      <c r="D19" s="1"/>
    </row>
    <row r="20" spans="1:4" x14ac:dyDescent="0.35">
      <c r="A20" s="1"/>
      <c r="B20" s="48" t="s">
        <v>216</v>
      </c>
      <c r="C20" s="37">
        <v>2.8400000000000002E-2</v>
      </c>
      <c r="D20" s="1"/>
    </row>
    <row r="21" spans="1:4" x14ac:dyDescent="0.35">
      <c r="A21" s="1"/>
      <c r="B21" s="39"/>
      <c r="C21" s="22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39" t="s">
        <v>182</v>
      </c>
      <c r="C24" s="22"/>
      <c r="D24" s="1"/>
    </row>
    <row r="25" spans="1:4" x14ac:dyDescent="0.35">
      <c r="A25" s="1"/>
      <c r="B25" s="48" t="s">
        <v>217</v>
      </c>
      <c r="C25" s="28">
        <v>0.02</v>
      </c>
      <c r="D25" s="1"/>
    </row>
    <row r="26" spans="1:4" x14ac:dyDescent="0.35">
      <c r="A26" s="1"/>
      <c r="B26" s="39"/>
      <c r="C26" s="22"/>
      <c r="D26" s="1"/>
    </row>
    <row r="27" spans="1:4" x14ac:dyDescent="0.35">
      <c r="A27" s="1"/>
      <c r="B27" s="1"/>
      <c r="C27" s="1"/>
      <c r="D27" s="1"/>
    </row>
    <row r="28" spans="1:4" x14ac:dyDescent="0.35">
      <c r="A28" s="1"/>
      <c r="B28" s="1"/>
      <c r="C28" s="1"/>
      <c r="D28" s="1"/>
    </row>
    <row r="29" spans="1:4" x14ac:dyDescent="0.35">
      <c r="A29" s="1"/>
      <c r="B29" s="1"/>
      <c r="C29" s="1"/>
      <c r="D29" s="1"/>
    </row>
    <row r="30" spans="1:4" x14ac:dyDescent="0.35">
      <c r="A30" s="1"/>
      <c r="B30" s="1"/>
      <c r="C30" s="1"/>
      <c r="D30" s="1"/>
    </row>
    <row r="31" spans="1:4" x14ac:dyDescent="0.35">
      <c r="A31" s="1"/>
      <c r="B31" s="1"/>
      <c r="C31" s="1"/>
      <c r="D31" s="1"/>
    </row>
    <row r="32" spans="1:4" x14ac:dyDescent="0.35">
      <c r="A32" s="1"/>
      <c r="B32" s="1"/>
      <c r="C32" s="1"/>
      <c r="D32" s="1"/>
    </row>
    <row r="33" spans="1:4" x14ac:dyDescent="0.35">
      <c r="A33" s="1"/>
      <c r="B33" s="1"/>
      <c r="C33" s="1"/>
      <c r="D33" s="1"/>
    </row>
    <row r="34" spans="1:4" x14ac:dyDescent="0.35">
      <c r="A34" s="1"/>
      <c r="B34" s="1"/>
      <c r="C34" s="1"/>
      <c r="D34" s="1"/>
    </row>
    <row r="35" spans="1:4" x14ac:dyDescent="0.35">
      <c r="A35" s="1"/>
      <c r="B35" s="1"/>
      <c r="C35" s="1"/>
      <c r="D35" s="1"/>
    </row>
    <row r="36" spans="1:4" x14ac:dyDescent="0.35">
      <c r="A36" s="1"/>
      <c r="B36" s="1"/>
      <c r="C36" s="1"/>
      <c r="D36" s="1"/>
    </row>
    <row r="37" spans="1:4" x14ac:dyDescent="0.35">
      <c r="A37" s="1"/>
      <c r="B37" s="1"/>
      <c r="C37" s="1"/>
      <c r="D37" s="1"/>
    </row>
    <row r="38" spans="1:4" x14ac:dyDescent="0.35">
      <c r="A38" s="1"/>
      <c r="B38" s="1"/>
      <c r="C38" s="1"/>
      <c r="D38" s="1"/>
    </row>
    <row r="39" spans="1:4" x14ac:dyDescent="0.35">
      <c r="A39" s="1"/>
      <c r="B39" s="1"/>
      <c r="C39" s="1"/>
      <c r="D39" s="1"/>
    </row>
    <row r="40" spans="1:4" x14ac:dyDescent="0.35">
      <c r="A40" s="1"/>
      <c r="B40" s="1"/>
      <c r="C40" s="1"/>
      <c r="D40" s="1"/>
    </row>
    <row r="41" spans="1:4" x14ac:dyDescent="0.35">
      <c r="A41" s="1"/>
      <c r="B41" s="1"/>
      <c r="C41" s="1"/>
      <c r="D41" s="1"/>
    </row>
    <row r="42" spans="1:4" x14ac:dyDescent="0.35">
      <c r="A42" s="1"/>
      <c r="B42" s="1"/>
      <c r="C42" s="1"/>
      <c r="D42" s="1"/>
    </row>
    <row r="43" spans="1:4" x14ac:dyDescent="0.35">
      <c r="A43" s="1"/>
      <c r="B43" s="1"/>
      <c r="C43" s="1"/>
      <c r="D43" s="1"/>
    </row>
    <row r="44" spans="1:4" x14ac:dyDescent="0.35">
      <c r="A44" s="1"/>
      <c r="B44" s="1"/>
      <c r="C44" s="1"/>
      <c r="D44" s="1"/>
    </row>
    <row r="45" spans="1:4" x14ac:dyDescent="0.35">
      <c r="A45" s="1"/>
      <c r="B45" s="1"/>
      <c r="C45" s="1"/>
      <c r="D45" s="1"/>
    </row>
    <row r="46" spans="1:4" x14ac:dyDescent="0.35">
      <c r="A46" s="1"/>
      <c r="B46" s="1"/>
      <c r="C46" s="1"/>
      <c r="D46" s="1"/>
    </row>
    <row r="47" spans="1:4" x14ac:dyDescent="0.35">
      <c r="A47" s="1"/>
      <c r="B47" s="1"/>
      <c r="C47" s="1"/>
      <c r="D47" s="1"/>
    </row>
    <row r="48" spans="1:4" x14ac:dyDescent="0.35">
      <c r="A48" s="1"/>
      <c r="B48" s="1"/>
      <c r="C48" s="1"/>
      <c r="D48" s="1"/>
    </row>
    <row r="49" spans="1:4" x14ac:dyDescent="0.35">
      <c r="A49" s="1"/>
      <c r="B49" s="1"/>
      <c r="C49" s="1"/>
      <c r="D49" s="1"/>
    </row>
    <row r="50" spans="1:4" x14ac:dyDescent="0.35">
      <c r="A50" s="1"/>
      <c r="B50" s="1"/>
      <c r="C50" s="1"/>
      <c r="D50" s="1"/>
    </row>
  </sheetData>
  <sheetProtection algorithmName="SHA-512" hashValue="ZT+y1hGEiHfs+tpHh29Zoz5k/lqhigZIkSGOagoq1oLM7nUePC7G6MDXNnP+VoUgVwxTUdjakv21Yo9V0FZ6ew==" saltValue="0cjq7dgT0Vx/OmTj/+BdQ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topLeftCell="A18" zoomScaleNormal="100" workbookViewId="0">
      <selection activeCell="C17" sqref="C17"/>
    </sheetView>
  </sheetViews>
  <sheetFormatPr defaultColWidth="9.08984375" defaultRowHeight="14.5" x14ac:dyDescent="0.35"/>
  <cols>
    <col min="1" max="1" width="6.6328125" style="2" customWidth="1"/>
    <col min="2" max="2" width="56.7265625" style="2" customWidth="1"/>
    <col min="3" max="3" width="12.7265625" style="2" bestFit="1" customWidth="1"/>
    <col min="4" max="4" width="3.81640625" style="2" customWidth="1"/>
    <col min="5" max="5" width="6.26953125" style="2" customWidth="1"/>
    <col min="6" max="16384" width="9.089843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1" t="s">
        <v>65</v>
      </c>
      <c r="C3" s="81"/>
      <c r="D3" s="81"/>
      <c r="E3" s="1"/>
    </row>
    <row r="4" spans="1:5" ht="15" customHeight="1" x14ac:dyDescent="0.35">
      <c r="A4" s="1"/>
      <c r="B4" s="81"/>
      <c r="C4" s="81"/>
      <c r="D4" s="81"/>
      <c r="E4" s="1"/>
    </row>
    <row r="5" spans="1:5" x14ac:dyDescent="0.35">
      <c r="A5" s="1"/>
      <c r="B5" s="1"/>
      <c r="C5" s="1"/>
      <c r="D5" s="1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9" t="s">
        <v>20</v>
      </c>
      <c r="C8" s="40"/>
      <c r="D8" s="22"/>
      <c r="E8" s="1"/>
    </row>
    <row r="9" spans="1:5" x14ac:dyDescent="0.35">
      <c r="A9" s="1"/>
      <c r="B9" s="44" t="s">
        <v>34</v>
      </c>
      <c r="C9" s="7">
        <f>'Fane 3. Omkostninger i ØR2019'!E22</f>
        <v>16645561.644277506</v>
      </c>
      <c r="D9" s="8" t="s">
        <v>3</v>
      </c>
      <c r="E9" s="1"/>
    </row>
    <row r="10" spans="1:5" ht="17.149999999999999" customHeight="1" x14ac:dyDescent="0.35">
      <c r="A10" s="1"/>
      <c r="B10" s="32" t="s">
        <v>67</v>
      </c>
      <c r="C10" s="59">
        <f>'Fane 10.1. Varige tillæg'!C18</f>
        <v>1082050.5018128853</v>
      </c>
      <c r="D10" s="8" t="s">
        <v>3</v>
      </c>
      <c r="E10" s="1"/>
    </row>
    <row r="11" spans="1:5" ht="17.149999999999999" customHeight="1" x14ac:dyDescent="0.35">
      <c r="A11" s="1"/>
      <c r="B11" s="32" t="s">
        <v>68</v>
      </c>
      <c r="C11" s="57">
        <f>'Fane 10.1. Varige tillæg'!E18</f>
        <v>1228955.0675977082</v>
      </c>
      <c r="D11" s="8" t="s">
        <v>3</v>
      </c>
      <c r="E11" s="1"/>
    </row>
    <row r="12" spans="1:5" ht="17.149999999999999" customHeight="1" x14ac:dyDescent="0.3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49999999999999" customHeight="1" x14ac:dyDescent="0.3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49999999999999" customHeight="1" x14ac:dyDescent="0.3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49999999999999" customHeight="1" x14ac:dyDescent="0.3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49999999999999" customHeight="1" x14ac:dyDescent="0.35">
      <c r="A16" s="1"/>
      <c r="B16" s="32" t="s">
        <v>26</v>
      </c>
      <c r="C16" s="9">
        <f>C9*'Fane 14. Nøgletal'!C11+SUM(C10:C15)*'Fane 14. Nøgletal'!C12</f>
        <v>326836.80150567851</v>
      </c>
      <c r="D16" s="8" t="s">
        <v>3</v>
      </c>
      <c r="E16" s="1"/>
    </row>
    <row r="17" spans="1:5" ht="17.149999999999999" customHeight="1" x14ac:dyDescent="0.35">
      <c r="A17" s="1"/>
      <c r="B17" s="32" t="s">
        <v>10</v>
      </c>
      <c r="C17" s="9">
        <f>-SUM(C9:C16)*'Fane 5. Individuelt eff. krav'!G10</f>
        <v>-385668.08030387561</v>
      </c>
      <c r="D17" s="8" t="s">
        <v>3</v>
      </c>
      <c r="E17" s="1"/>
    </row>
    <row r="18" spans="1:5" ht="17.149999999999999" customHeight="1" x14ac:dyDescent="0.35">
      <c r="A18" s="1"/>
      <c r="B18" s="32" t="s">
        <v>38</v>
      </c>
      <c r="C18" s="57">
        <f>-'Fane 4.1. Gen. krav - drift'!G26</f>
        <v>-181636.14380732152</v>
      </c>
      <c r="D18" s="8" t="s">
        <v>3</v>
      </c>
      <c r="E18" s="1"/>
    </row>
    <row r="19" spans="1:5" ht="17.149999999999999" customHeight="1" x14ac:dyDescent="0.35">
      <c r="A19" s="1"/>
      <c r="B19" s="32" t="s">
        <v>39</v>
      </c>
      <c r="C19" s="57">
        <f>-'Fane 4.2. Gen. krav - anlæg'!G25</f>
        <v>-122615.18476423758</v>
      </c>
      <c r="D19" s="8" t="s">
        <v>3</v>
      </c>
      <c r="E19" s="1"/>
    </row>
    <row r="20" spans="1:5" ht="17.149999999999999" customHeight="1" x14ac:dyDescent="0.35">
      <c r="A20" s="1"/>
      <c r="B20" s="50" t="s">
        <v>28</v>
      </c>
      <c r="C20" s="10">
        <f>SUM(C9:C19)</f>
        <v>18593484.606318347</v>
      </c>
      <c r="D20" s="11" t="s">
        <v>3</v>
      </c>
      <c r="E20" s="1"/>
    </row>
    <row r="21" spans="1:5" ht="15" customHeight="1" x14ac:dyDescent="0.35">
      <c r="A21" s="1"/>
      <c r="B21" s="39" t="s">
        <v>17</v>
      </c>
      <c r="C21" s="40"/>
      <c r="D21" s="22"/>
      <c r="E21" s="1"/>
    </row>
    <row r="22" spans="1:5" ht="15" customHeight="1" x14ac:dyDescent="0.35">
      <c r="A22" s="1"/>
      <c r="B22" s="41" t="s">
        <v>17</v>
      </c>
      <c r="C22" s="10">
        <f>'Fane 6. Ikke-påvirkelige omk.'!C21</f>
        <v>7490611.5648101103</v>
      </c>
      <c r="D22" s="11" t="s">
        <v>3</v>
      </c>
      <c r="E22" s="1"/>
    </row>
    <row r="23" spans="1:5" ht="15" customHeight="1" x14ac:dyDescent="0.35">
      <c r="A23" s="1"/>
      <c r="B23" s="39" t="s">
        <v>142</v>
      </c>
      <c r="C23" s="40"/>
      <c r="D23" s="22"/>
      <c r="E23" s="1"/>
    </row>
    <row r="24" spans="1:5" ht="15" customHeight="1" x14ac:dyDescent="0.3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3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3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35">
      <c r="A27" s="1"/>
      <c r="B27" s="39" t="s">
        <v>11</v>
      </c>
      <c r="C27" s="40"/>
      <c r="D27" s="22"/>
      <c r="E27" s="1"/>
    </row>
    <row r="28" spans="1:5" ht="15" customHeight="1" x14ac:dyDescent="0.3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35">
      <c r="A29" s="1"/>
      <c r="B29" s="39" t="s">
        <v>53</v>
      </c>
      <c r="C29" s="40"/>
      <c r="D29" s="22"/>
      <c r="E29" s="1"/>
    </row>
    <row r="30" spans="1:5" x14ac:dyDescent="0.35">
      <c r="A30" s="1"/>
      <c r="B30" s="41" t="s">
        <v>218</v>
      </c>
      <c r="C30" s="10">
        <f>'Fane 7. Kontrol af ØR2018'!E32</f>
        <v>75053.636076071998</v>
      </c>
      <c r="D30" s="11" t="s">
        <v>3</v>
      </c>
      <c r="E30" s="1"/>
    </row>
    <row r="31" spans="1:5" x14ac:dyDescent="0.35">
      <c r="A31" s="1"/>
      <c r="B31" s="39" t="s">
        <v>225</v>
      </c>
      <c r="C31" s="40"/>
      <c r="D31" s="22"/>
      <c r="E31" s="1"/>
    </row>
    <row r="32" spans="1:5" x14ac:dyDescent="0.35">
      <c r="A32" s="1"/>
      <c r="B32" s="41" t="s">
        <v>226</v>
      </c>
      <c r="C32" s="10">
        <f>'Fane 8. Korrektioner'!E10</f>
        <v>26321.202140398556</v>
      </c>
      <c r="D32" s="11" t="s">
        <v>3</v>
      </c>
      <c r="E32" s="1"/>
    </row>
    <row r="33" spans="1:5" x14ac:dyDescent="0.35">
      <c r="A33" s="1"/>
      <c r="B33" s="39" t="s">
        <v>35</v>
      </c>
      <c r="C33" s="33">
        <f>SUM(C20,C22,C26,C28,C30,C32)</f>
        <v>26185471.009344928</v>
      </c>
      <c r="D33" s="22" t="s">
        <v>3</v>
      </c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</sheetData>
  <sheetProtection algorithmName="SHA-512" hashValue="b5Cpef7+O/jTGdTbzYXrp1ieeyg0l42HMjOHmzlFQ53amnb1iQM9kcVWMOg+L/plTlab+X7uyxX6ZcBXY7YxZA==" saltValue="ED1lOBl0WTg5Ggr1bx5A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topLeftCell="A13" zoomScaleNormal="100" workbookViewId="0">
      <selection activeCell="C25" sqref="C25"/>
    </sheetView>
  </sheetViews>
  <sheetFormatPr defaultColWidth="9.08984375" defaultRowHeight="14.5" x14ac:dyDescent="0.35"/>
  <cols>
    <col min="1" max="1" width="5.08984375" style="2" customWidth="1"/>
    <col min="2" max="2" width="62.36328125" style="2" customWidth="1"/>
    <col min="3" max="3" width="10.26953125" style="2" customWidth="1"/>
    <col min="4" max="4" width="3.26953125" style="2" customWidth="1"/>
    <col min="5" max="5" width="5.08984375" style="2" customWidth="1"/>
    <col min="6" max="16384" width="9.089843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1" t="s">
        <v>85</v>
      </c>
      <c r="C3" s="81"/>
      <c r="D3" s="81"/>
      <c r="E3" s="1"/>
    </row>
    <row r="4" spans="1:5" ht="15" customHeight="1" x14ac:dyDescent="0.35">
      <c r="A4" s="1"/>
      <c r="B4" s="81"/>
      <c r="C4" s="81"/>
      <c r="D4" s="81"/>
      <c r="E4" s="1"/>
    </row>
    <row r="5" spans="1:5" x14ac:dyDescent="0.35">
      <c r="A5" s="1"/>
      <c r="B5" s="82" t="s">
        <v>29</v>
      </c>
      <c r="C5" s="82"/>
      <c r="D5" s="82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1"/>
      <c r="C7" s="1"/>
      <c r="D7" s="1"/>
      <c r="E7" s="1"/>
    </row>
    <row r="8" spans="1:5" x14ac:dyDescent="0.35">
      <c r="A8" s="1"/>
      <c r="B8" s="39" t="s">
        <v>20</v>
      </c>
      <c r="C8" s="40"/>
      <c r="D8" s="22"/>
      <c r="E8" s="1"/>
    </row>
    <row r="9" spans="1:5" ht="15" customHeight="1" x14ac:dyDescent="0.35">
      <c r="A9" s="1"/>
      <c r="B9" s="44" t="s">
        <v>36</v>
      </c>
      <c r="C9" s="7">
        <f>'Fane 2.1. Økonomisk ramme 2020'!C20</f>
        <v>18593484.606318347</v>
      </c>
      <c r="D9" s="8" t="s">
        <v>3</v>
      </c>
      <c r="E9" s="1"/>
    </row>
    <row r="10" spans="1:5" ht="15" customHeight="1" x14ac:dyDescent="0.3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3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35">
      <c r="A12" s="1"/>
      <c r="B12" s="38" t="s">
        <v>26</v>
      </c>
      <c r="C12" s="9">
        <f>SUM(C9:C11)*'Fane 14. Nøgletal'!C12</f>
        <v>366291.64674447139</v>
      </c>
      <c r="D12" s="8" t="s">
        <v>3</v>
      </c>
      <c r="E12" s="1"/>
    </row>
    <row r="13" spans="1:5" ht="15" customHeight="1" x14ac:dyDescent="0.35">
      <c r="A13" s="1"/>
      <c r="B13" s="38" t="s">
        <v>10</v>
      </c>
      <c r="C13" s="9">
        <f>-SUM(C9:C12)*'Fane 5. Individuelt eff. krav'!G10</f>
        <v>-379195.52506125637</v>
      </c>
      <c r="D13" s="8" t="s">
        <v>3</v>
      </c>
      <c r="E13" s="1"/>
    </row>
    <row r="14" spans="1:5" ht="15" customHeight="1" x14ac:dyDescent="0.35">
      <c r="A14" s="1"/>
      <c r="B14" s="38" t="s">
        <v>38</v>
      </c>
      <c r="C14" s="9">
        <f>-'Fane 4.1. Gen. krav - drift'!G32</f>
        <v>-181510.08832351927</v>
      </c>
      <c r="D14" s="8" t="s">
        <v>3</v>
      </c>
      <c r="E14" s="1"/>
    </row>
    <row r="15" spans="1:5" ht="15" customHeight="1" x14ac:dyDescent="0.35">
      <c r="A15" s="1"/>
      <c r="B15" s="38" t="s">
        <v>39</v>
      </c>
      <c r="C15" s="9">
        <f>-'Fane 4.2. Gen. krav - anlæg'!G31</f>
        <v>-322419.11451391608</v>
      </c>
      <c r="D15" s="8" t="s">
        <v>3</v>
      </c>
      <c r="E15" s="1"/>
    </row>
    <row r="16" spans="1:5" ht="15" customHeight="1" x14ac:dyDescent="0.35">
      <c r="A16" s="1"/>
      <c r="B16" s="45" t="s">
        <v>28</v>
      </c>
      <c r="C16" s="10">
        <f>SUM(C9:C15)</f>
        <v>18076651.525164127</v>
      </c>
      <c r="D16" s="11" t="s">
        <v>3</v>
      </c>
      <c r="E16" s="1"/>
    </row>
    <row r="17" spans="1:5" x14ac:dyDescent="0.35">
      <c r="A17" s="1"/>
      <c r="B17" s="39" t="s">
        <v>17</v>
      </c>
      <c r="C17" s="40"/>
      <c r="D17" s="22"/>
      <c r="E17" s="1"/>
    </row>
    <row r="18" spans="1:5" ht="15" customHeight="1" x14ac:dyDescent="0.35">
      <c r="A18" s="1"/>
      <c r="B18" s="41" t="s">
        <v>17</v>
      </c>
      <c r="C18" s="10">
        <f>'Fane 6. Ikke-påvirkelige omk.'!C21*(1+'Fane 14. Nøgletal'!C12)</f>
        <v>7638176.6126368698</v>
      </c>
      <c r="D18" s="11" t="s">
        <v>3</v>
      </c>
      <c r="E18" s="1"/>
    </row>
    <row r="19" spans="1:5" ht="15" customHeight="1" x14ac:dyDescent="0.35">
      <c r="A19" s="1"/>
      <c r="B19" s="39" t="s">
        <v>142</v>
      </c>
      <c r="C19" s="40"/>
      <c r="D19" s="22"/>
      <c r="E19" s="1"/>
    </row>
    <row r="20" spans="1:5" ht="15" customHeight="1" x14ac:dyDescent="0.3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3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3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35">
      <c r="A23" s="1"/>
      <c r="B23" s="39" t="s">
        <v>160</v>
      </c>
      <c r="C23" s="40"/>
      <c r="D23" s="22"/>
      <c r="E23" s="1"/>
    </row>
    <row r="24" spans="1:5" ht="15" customHeight="1" x14ac:dyDescent="0.3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35">
      <c r="A25" s="1"/>
      <c r="B25" s="39" t="s">
        <v>44</v>
      </c>
      <c r="C25" s="12">
        <f>SUM(C16,C18,C22,C24)</f>
        <v>25714828.137800999</v>
      </c>
      <c r="D25" s="13" t="s">
        <v>3</v>
      </c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</sheetData>
  <sheetProtection algorithmName="SHA-512" hashValue="68+G4acGdSgm9esefaBt7wD/g+zYEhyLq6ZWu7u6KHApbixBZ5vQgC7E7ilz9k1arPtFLOlBFR5FmmqKgM07lQ==" saltValue="of27XqTpQEHUAYyl0mhT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topLeftCell="A7" zoomScaleNormal="100" workbookViewId="0"/>
  </sheetViews>
  <sheetFormatPr defaultColWidth="9.08984375" defaultRowHeight="14.5" x14ac:dyDescent="0.35"/>
  <cols>
    <col min="1" max="1" width="5.08984375" style="2" customWidth="1"/>
    <col min="2" max="2" width="63.26953125" style="2" customWidth="1"/>
    <col min="3" max="3" width="10.26953125" style="2" customWidth="1"/>
    <col min="4" max="4" width="3.26953125" style="2" customWidth="1"/>
    <col min="5" max="5" width="5.08984375" style="2" customWidth="1"/>
    <col min="6" max="16384" width="9.089843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1" t="s">
        <v>193</v>
      </c>
      <c r="C3" s="81"/>
      <c r="D3" s="81"/>
      <c r="E3" s="1"/>
    </row>
    <row r="4" spans="1:5" ht="15" customHeight="1" x14ac:dyDescent="0.35">
      <c r="A4" s="1"/>
      <c r="B4" s="81"/>
      <c r="C4" s="81"/>
      <c r="D4" s="81"/>
      <c r="E4" s="1"/>
    </row>
    <row r="5" spans="1:5" x14ac:dyDescent="0.35">
      <c r="A5" s="1"/>
      <c r="B5" s="82" t="s">
        <v>29</v>
      </c>
      <c r="C5" s="82"/>
      <c r="D5" s="82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39" t="s">
        <v>20</v>
      </c>
      <c r="C7" s="40"/>
      <c r="D7" s="22"/>
      <c r="E7" s="1"/>
    </row>
    <row r="8" spans="1:5" ht="15" customHeight="1" x14ac:dyDescent="0.35">
      <c r="A8" s="1"/>
      <c r="B8" s="44" t="s">
        <v>37</v>
      </c>
      <c r="C8" s="7">
        <f>'Fane 2.2. Økonomisk ramme 2021'!C16</f>
        <v>18076651.525164127</v>
      </c>
      <c r="D8" s="8" t="s">
        <v>3</v>
      </c>
      <c r="E8" s="1"/>
    </row>
    <row r="9" spans="1:5" ht="15" customHeight="1" x14ac:dyDescent="0.3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3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35">
      <c r="A11" s="1"/>
      <c r="B11" s="38" t="s">
        <v>26</v>
      </c>
      <c r="C11" s="9">
        <f>SUM(C8:C10)*'Fane 14. Nøgletal'!C12</f>
        <v>356110.03504573327</v>
      </c>
      <c r="D11" s="8" t="s">
        <v>3</v>
      </c>
      <c r="E11" s="1"/>
    </row>
    <row r="12" spans="1:5" ht="15" customHeight="1" x14ac:dyDescent="0.35">
      <c r="A12" s="1"/>
      <c r="B12" s="38" t="s">
        <v>10</v>
      </c>
      <c r="C12" s="9">
        <f>-SUM(C8:C11)*'Fane 5. Individuelt eff. krav'!G10</f>
        <v>-368655.23120419722</v>
      </c>
      <c r="D12" s="8" t="s">
        <v>3</v>
      </c>
      <c r="E12" s="1"/>
    </row>
    <row r="13" spans="1:5" ht="15" customHeight="1" x14ac:dyDescent="0.35">
      <c r="A13" s="1"/>
      <c r="B13" s="38" t="s">
        <v>38</v>
      </c>
      <c r="C13" s="9">
        <f>-'Fane 4.1. Gen. krav - drift'!G38</f>
        <v>-181384.12032222279</v>
      </c>
      <c r="D13" s="8" t="s">
        <v>3</v>
      </c>
      <c r="E13" s="1"/>
    </row>
    <row r="14" spans="1:5" ht="15" customHeight="1" x14ac:dyDescent="0.35">
      <c r="A14" s="1"/>
      <c r="B14" s="38" t="s">
        <v>39</v>
      </c>
      <c r="C14" s="9">
        <f>-'Fane 4.2. Gen. krav - anlæg'!G37</f>
        <v>-319433.68117145682</v>
      </c>
      <c r="D14" s="8" t="s">
        <v>3</v>
      </c>
      <c r="E14" s="1"/>
    </row>
    <row r="15" spans="1:5" x14ac:dyDescent="0.35">
      <c r="A15" s="1"/>
      <c r="B15" s="45" t="s">
        <v>28</v>
      </c>
      <c r="C15" s="10">
        <f>SUM(C8:C14)</f>
        <v>17563288.52751198</v>
      </c>
      <c r="D15" s="11" t="s">
        <v>3</v>
      </c>
      <c r="E15" s="1"/>
    </row>
    <row r="16" spans="1:5" x14ac:dyDescent="0.35">
      <c r="A16" s="1"/>
      <c r="B16" s="39" t="s">
        <v>17</v>
      </c>
      <c r="C16" s="40"/>
      <c r="D16" s="22"/>
      <c r="E16" s="1"/>
    </row>
    <row r="17" spans="1:5" ht="15" customHeight="1" x14ac:dyDescent="0.35">
      <c r="A17" s="1"/>
      <c r="B17" s="41" t="s">
        <v>17</v>
      </c>
      <c r="C17" s="10">
        <f>'Fane 6. Ikke-påvirkelige omk.'!C21*(1+'Fane 14. Nøgletal'!C12)^2</f>
        <v>7788648.6919058161</v>
      </c>
      <c r="D17" s="11" t="s">
        <v>3</v>
      </c>
      <c r="E17" s="1"/>
    </row>
    <row r="18" spans="1:5" ht="15" customHeight="1" x14ac:dyDescent="0.35">
      <c r="A18" s="1"/>
      <c r="B18" s="39" t="s">
        <v>142</v>
      </c>
      <c r="C18" s="40"/>
      <c r="D18" s="22"/>
      <c r="E18" s="1"/>
    </row>
    <row r="19" spans="1:5" ht="15" customHeight="1" x14ac:dyDescent="0.3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3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3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35">
      <c r="A22" s="1"/>
      <c r="B22" s="39" t="s">
        <v>160</v>
      </c>
      <c r="C22" s="40"/>
      <c r="D22" s="22"/>
      <c r="E22" s="1"/>
    </row>
    <row r="23" spans="1:5" ht="15" customHeight="1" x14ac:dyDescent="0.3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35">
      <c r="A24" s="1"/>
      <c r="B24" s="39" t="s">
        <v>45</v>
      </c>
      <c r="C24" s="12">
        <f>SUM(C15,C17,C21,C23)</f>
        <v>25351937.219417796</v>
      </c>
      <c r="D24" s="13" t="s">
        <v>3</v>
      </c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</sheetData>
  <sheetProtection algorithmName="SHA-512" hashValue="3bI8x6PUG9IRtG8w9F5EWZqlqRcXP5HTxE5Tfz9a1D4ffZE7PsrUcrGzN9N/aTlKqS19FRLWfGhEq5gaWcc59w==" saltValue="fnb0gWbKNZj4vRk4aMS+Q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topLeftCell="A13" zoomScaleNormal="100" workbookViewId="0"/>
  </sheetViews>
  <sheetFormatPr defaultColWidth="9.08984375" defaultRowHeight="14.5" x14ac:dyDescent="0.35"/>
  <cols>
    <col min="1" max="1" width="5.08984375" style="2" customWidth="1"/>
    <col min="2" max="2" width="63.08984375" style="2" customWidth="1"/>
    <col min="3" max="3" width="10.26953125" style="2" customWidth="1"/>
    <col min="4" max="4" width="3.26953125" style="2" customWidth="1"/>
    <col min="5" max="5" width="5.08984375" style="2" customWidth="1"/>
    <col min="6" max="16384" width="9.08984375" style="2"/>
  </cols>
  <sheetData>
    <row r="1" spans="1:5" x14ac:dyDescent="0.35">
      <c r="A1" s="1"/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3" spans="1:5" ht="15" customHeight="1" x14ac:dyDescent="0.35">
      <c r="A3" s="1"/>
      <c r="B3" s="81" t="s">
        <v>194</v>
      </c>
      <c r="C3" s="81"/>
      <c r="D3" s="81"/>
      <c r="E3" s="1"/>
    </row>
    <row r="4" spans="1:5" ht="15" customHeight="1" x14ac:dyDescent="0.35">
      <c r="A4" s="1"/>
      <c r="B4" s="81"/>
      <c r="C4" s="81"/>
      <c r="D4" s="81"/>
      <c r="E4" s="1"/>
    </row>
    <row r="5" spans="1:5" x14ac:dyDescent="0.35">
      <c r="A5" s="1"/>
      <c r="B5" s="82" t="s">
        <v>29</v>
      </c>
      <c r="C5" s="82"/>
      <c r="D5" s="82"/>
      <c r="E5" s="1"/>
    </row>
    <row r="6" spans="1:5" x14ac:dyDescent="0.35">
      <c r="A6" s="1"/>
      <c r="B6" s="1"/>
      <c r="C6" s="1"/>
      <c r="D6" s="1"/>
      <c r="E6" s="1"/>
    </row>
    <row r="7" spans="1:5" x14ac:dyDescent="0.35">
      <c r="A7" s="1"/>
      <c r="B7" s="39" t="s">
        <v>20</v>
      </c>
      <c r="C7" s="40"/>
      <c r="D7" s="22"/>
      <c r="E7" s="1"/>
    </row>
    <row r="8" spans="1:5" ht="15" customHeight="1" x14ac:dyDescent="0.35">
      <c r="A8" s="1"/>
      <c r="B8" s="44" t="s">
        <v>245</v>
      </c>
      <c r="C8" s="7">
        <f>'Fane 2.3. Økonomisk ramme 2022'!C15</f>
        <v>17563288.52751198</v>
      </c>
      <c r="D8" s="8" t="s">
        <v>3</v>
      </c>
      <c r="E8" s="1"/>
    </row>
    <row r="9" spans="1:5" ht="15" customHeight="1" x14ac:dyDescent="0.3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3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35">
      <c r="A11" s="1"/>
      <c r="B11" s="38" t="s">
        <v>26</v>
      </c>
      <c r="C11" s="9">
        <f>C8*'Fane 14. Nøgletal'!C12</f>
        <v>345996.78399198601</v>
      </c>
      <c r="D11" s="8" t="s">
        <v>3</v>
      </c>
      <c r="E11" s="1"/>
    </row>
    <row r="12" spans="1:5" ht="15" customHeight="1" x14ac:dyDescent="0.35">
      <c r="A12" s="1"/>
      <c r="B12" s="38" t="s">
        <v>10</v>
      </c>
      <c r="C12" s="9">
        <f>-SUM(C8:C11)*'Fane 5. Individuelt eff. krav'!G10</f>
        <v>-358185.70623007929</v>
      </c>
      <c r="D12" s="8" t="s">
        <v>3</v>
      </c>
      <c r="E12" s="1"/>
    </row>
    <row r="13" spans="1:5" ht="15" customHeight="1" x14ac:dyDescent="0.35">
      <c r="A13" s="1"/>
      <c r="B13" s="38" t="s">
        <v>38</v>
      </c>
      <c r="C13" s="9">
        <f>-'Fane 4.1. Gen. krav - drift'!G44</f>
        <v>-181258.23974271919</v>
      </c>
      <c r="D13" s="8" t="s">
        <v>3</v>
      </c>
      <c r="E13" s="1"/>
    </row>
    <row r="14" spans="1:5" ht="15" customHeight="1" x14ac:dyDescent="0.35">
      <c r="A14" s="1"/>
      <c r="B14" s="38" t="s">
        <v>39</v>
      </c>
      <c r="C14" s="9">
        <f>-'Fane 4.2. Gen. krav - anlæg'!G43</f>
        <v>-316475.89138932334</v>
      </c>
      <c r="D14" s="8" t="s">
        <v>3</v>
      </c>
      <c r="E14" s="1"/>
    </row>
    <row r="15" spans="1:5" x14ac:dyDescent="0.35">
      <c r="A15" s="1"/>
      <c r="B15" s="45" t="s">
        <v>28</v>
      </c>
      <c r="C15" s="10">
        <f>SUM(C8:C14)</f>
        <v>17053365.474141847</v>
      </c>
      <c r="D15" s="11" t="s">
        <v>3</v>
      </c>
      <c r="E15" s="1"/>
    </row>
    <row r="16" spans="1:5" x14ac:dyDescent="0.35">
      <c r="A16" s="1"/>
      <c r="B16" s="39" t="s">
        <v>17</v>
      </c>
      <c r="C16" s="40"/>
      <c r="D16" s="22"/>
      <c r="E16" s="1"/>
    </row>
    <row r="17" spans="1:5" ht="15" customHeight="1" x14ac:dyDescent="0.35">
      <c r="A17" s="1"/>
      <c r="B17" s="41" t="s">
        <v>17</v>
      </c>
      <c r="C17" s="10">
        <f>'Fane 6. Ikke-påvirkelige omk.'!C21*(1+'Fane 14. Nøgletal'!C12)^3</f>
        <v>7942085.071136361</v>
      </c>
      <c r="D17" s="11" t="s">
        <v>3</v>
      </c>
      <c r="E17" s="1"/>
    </row>
    <row r="18" spans="1:5" ht="15" customHeight="1" x14ac:dyDescent="0.35">
      <c r="A18" s="1"/>
      <c r="B18" s="39" t="s">
        <v>142</v>
      </c>
      <c r="C18" s="40"/>
      <c r="D18" s="22"/>
      <c r="E18" s="1"/>
    </row>
    <row r="19" spans="1:5" ht="15" customHeight="1" x14ac:dyDescent="0.3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3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3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35">
      <c r="A22" s="1"/>
      <c r="B22" s="39" t="s">
        <v>154</v>
      </c>
      <c r="C22" s="12">
        <f>SUM(C15,C17,C21)</f>
        <v>24995450.545278206</v>
      </c>
      <c r="D22" s="13" t="s">
        <v>3</v>
      </c>
      <c r="E22" s="1"/>
    </row>
    <row r="23" spans="1:5" x14ac:dyDescent="0.35">
      <c r="A23" s="1"/>
      <c r="B23" s="1"/>
      <c r="C23" s="1"/>
      <c r="D23" s="1"/>
      <c r="E23" s="1"/>
    </row>
    <row r="24" spans="1:5" x14ac:dyDescent="0.35">
      <c r="A24" s="1"/>
      <c r="B24" s="1"/>
      <c r="C24" s="1"/>
      <c r="D24" s="1"/>
      <c r="E24" s="1"/>
    </row>
    <row r="25" spans="1:5" x14ac:dyDescent="0.35">
      <c r="A25" s="1"/>
      <c r="B25" s="1"/>
      <c r="C25" s="1"/>
      <c r="D25" s="1"/>
      <c r="E25" s="1"/>
    </row>
    <row r="26" spans="1:5" x14ac:dyDescent="0.35">
      <c r="A26" s="1"/>
      <c r="B26" s="1"/>
      <c r="C26" s="1"/>
      <c r="D26" s="1"/>
      <c r="E26" s="1"/>
    </row>
    <row r="27" spans="1:5" x14ac:dyDescent="0.35">
      <c r="A27" s="1"/>
      <c r="B27" s="1"/>
      <c r="C27" s="1"/>
      <c r="D27" s="1"/>
      <c r="E27" s="1"/>
    </row>
    <row r="28" spans="1:5" x14ac:dyDescent="0.35">
      <c r="A28" s="1"/>
      <c r="B28" s="1"/>
      <c r="C28" s="1"/>
      <c r="D28" s="1"/>
      <c r="E28" s="1"/>
    </row>
    <row r="29" spans="1:5" x14ac:dyDescent="0.35">
      <c r="A29" s="1"/>
      <c r="B29" s="1"/>
      <c r="C29" s="1"/>
      <c r="D29" s="1"/>
      <c r="E29" s="1"/>
    </row>
    <row r="30" spans="1:5" x14ac:dyDescent="0.35">
      <c r="A30" s="1"/>
      <c r="B30" s="1"/>
      <c r="C30" s="1"/>
      <c r="D30" s="1"/>
      <c r="E30" s="1"/>
    </row>
    <row r="31" spans="1:5" x14ac:dyDescent="0.35">
      <c r="A31" s="1"/>
      <c r="B31" s="1"/>
      <c r="C31" s="1"/>
      <c r="D31" s="1"/>
      <c r="E31" s="1"/>
    </row>
    <row r="32" spans="1:5" x14ac:dyDescent="0.35">
      <c r="A32" s="1"/>
      <c r="B32" s="1"/>
      <c r="C32" s="1"/>
      <c r="D32" s="1"/>
      <c r="E32" s="1"/>
    </row>
    <row r="33" spans="1:5" x14ac:dyDescent="0.35">
      <c r="A33" s="1"/>
      <c r="B33" s="1"/>
      <c r="C33" s="1"/>
      <c r="D33" s="1"/>
      <c r="E33" s="1"/>
    </row>
    <row r="34" spans="1:5" x14ac:dyDescent="0.35">
      <c r="A34" s="1"/>
      <c r="B34" s="1"/>
      <c r="C34" s="1"/>
      <c r="D34" s="1"/>
      <c r="E34" s="1"/>
    </row>
    <row r="35" spans="1:5" x14ac:dyDescent="0.35">
      <c r="A35" s="1"/>
      <c r="B35" s="1"/>
      <c r="C35" s="1"/>
      <c r="D35" s="1"/>
      <c r="E35" s="1"/>
    </row>
    <row r="36" spans="1:5" x14ac:dyDescent="0.35">
      <c r="A36" s="1"/>
      <c r="B36" s="1"/>
      <c r="C36" s="1"/>
      <c r="D36" s="1"/>
      <c r="E36" s="1"/>
    </row>
    <row r="37" spans="1:5" x14ac:dyDescent="0.35">
      <c r="A37" s="1"/>
      <c r="B37" s="1"/>
      <c r="C37" s="1"/>
      <c r="D37" s="1"/>
      <c r="E37" s="1"/>
    </row>
    <row r="38" spans="1:5" x14ac:dyDescent="0.35">
      <c r="A38" s="1"/>
      <c r="B38" s="1"/>
      <c r="C38" s="1"/>
      <c r="D38" s="1"/>
      <c r="E38" s="1"/>
    </row>
    <row r="39" spans="1:5" x14ac:dyDescent="0.35">
      <c r="A39" s="1"/>
      <c r="B39" s="1"/>
      <c r="C39" s="1"/>
      <c r="D39" s="1"/>
      <c r="E39" s="1"/>
    </row>
    <row r="40" spans="1:5" x14ac:dyDescent="0.35">
      <c r="A40" s="1"/>
      <c r="B40" s="1"/>
      <c r="C40" s="1"/>
      <c r="D40" s="1"/>
      <c r="E40" s="1"/>
    </row>
    <row r="41" spans="1:5" x14ac:dyDescent="0.35">
      <c r="A41" s="1"/>
      <c r="B41" s="1"/>
      <c r="C41" s="1"/>
      <c r="D41" s="1"/>
      <c r="E41" s="1"/>
    </row>
    <row r="42" spans="1:5" x14ac:dyDescent="0.35">
      <c r="A42" s="1"/>
      <c r="B42" s="1"/>
      <c r="C42" s="1"/>
      <c r="D42" s="1"/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1"/>
      <c r="B45" s="1"/>
      <c r="C45" s="1"/>
      <c r="D45" s="1"/>
      <c r="E45" s="1"/>
    </row>
    <row r="46" spans="1:5" x14ac:dyDescent="0.35">
      <c r="A46" s="1"/>
      <c r="B46" s="1"/>
      <c r="C46" s="1"/>
      <c r="D46" s="1"/>
      <c r="E46" s="1"/>
    </row>
    <row r="47" spans="1:5" x14ac:dyDescent="0.35">
      <c r="A47" s="1"/>
      <c r="B47" s="1"/>
      <c r="C47" s="1"/>
      <c r="D47" s="1"/>
      <c r="E47" s="1"/>
    </row>
    <row r="48" spans="1:5" x14ac:dyDescent="0.35">
      <c r="A48" s="1"/>
      <c r="B48" s="1"/>
      <c r="C48" s="1"/>
      <c r="D48" s="1"/>
      <c r="E48" s="1"/>
    </row>
    <row r="49" spans="1:5" x14ac:dyDescent="0.35">
      <c r="A49" s="1"/>
      <c r="B49" s="1"/>
      <c r="C49" s="1"/>
      <c r="D49" s="1"/>
      <c r="E49" s="1"/>
    </row>
    <row r="50" spans="1:5" x14ac:dyDescent="0.35">
      <c r="A50" s="1"/>
      <c r="B50" s="1"/>
      <c r="C50" s="1"/>
      <c r="D50" s="1"/>
      <c r="E50" s="1"/>
    </row>
  </sheetData>
  <sheetProtection algorithmName="SHA-512" hashValue="AnulRJrGNSm7WhKlldymeTPz6otPGnV/vQAUFV5bIZLFvikMkloLD3Fma4mYpkJTmIJ9h6sEAivCF2w2xaBtQw==" saltValue="phbzl/9C5YgD1Gn87iEq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3" width="9.08984375" style="2"/>
    <col min="4" max="4" width="39.36328125" style="2" customWidth="1"/>
    <col min="5" max="5" width="9.81640625" style="2" bestFit="1" customWidth="1"/>
    <col min="6" max="6" width="3.6328125" style="2" bestFit="1" customWidth="1"/>
    <col min="7" max="7" width="7.81640625" style="2" customWidth="1"/>
    <col min="8" max="16384" width="9.08984375" style="2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1"/>
      <c r="B2" s="1"/>
      <c r="C2" s="1"/>
      <c r="D2" s="1"/>
      <c r="E2" s="1"/>
      <c r="F2" s="1"/>
      <c r="G2" s="1"/>
    </row>
    <row r="3" spans="1:7" ht="15" customHeight="1" x14ac:dyDescent="0.35">
      <c r="A3" s="1"/>
      <c r="B3" s="98" t="s">
        <v>221</v>
      </c>
      <c r="C3" s="98"/>
      <c r="D3" s="98"/>
      <c r="E3" s="98"/>
      <c r="F3" s="98"/>
      <c r="G3" s="1"/>
    </row>
    <row r="4" spans="1:7" ht="29.25" customHeight="1" x14ac:dyDescent="0.35">
      <c r="A4" s="1"/>
      <c r="B4" s="98"/>
      <c r="C4" s="98"/>
      <c r="D4" s="98"/>
      <c r="E4" s="98"/>
      <c r="F4" s="98"/>
      <c r="G4" s="1"/>
    </row>
    <row r="5" spans="1:7" x14ac:dyDescent="0.35">
      <c r="A5" s="1"/>
      <c r="B5" s="1"/>
      <c r="C5" s="1"/>
      <c r="D5" s="1"/>
      <c r="E5" s="1"/>
      <c r="F5" s="1"/>
      <c r="G5" s="1"/>
    </row>
    <row r="6" spans="1:7" x14ac:dyDescent="0.35">
      <c r="A6" s="1"/>
      <c r="B6" s="1"/>
      <c r="C6" s="1"/>
      <c r="D6" s="1"/>
      <c r="E6" s="1"/>
      <c r="F6" s="1"/>
      <c r="G6" s="1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1"/>
      <c r="B8" s="39" t="s">
        <v>84</v>
      </c>
      <c r="C8" s="40"/>
      <c r="D8" s="40"/>
      <c r="E8" s="40"/>
      <c r="F8" s="22"/>
      <c r="G8" s="1"/>
    </row>
    <row r="9" spans="1:7" x14ac:dyDescent="0.35">
      <c r="A9" s="1"/>
      <c r="B9" s="99" t="s">
        <v>81</v>
      </c>
      <c r="C9" s="100"/>
      <c r="D9" s="101"/>
      <c r="E9" s="59">
        <v>16148927.262252765</v>
      </c>
      <c r="F9" s="8" t="s">
        <v>3</v>
      </c>
      <c r="G9" s="1"/>
    </row>
    <row r="10" spans="1:7" x14ac:dyDescent="0.35">
      <c r="A10" s="1"/>
      <c r="B10" s="99" t="s">
        <v>82</v>
      </c>
      <c r="C10" s="100"/>
      <c r="D10" s="101"/>
      <c r="E10" s="59">
        <v>0</v>
      </c>
      <c r="F10" s="8" t="s">
        <v>3</v>
      </c>
      <c r="G10" s="1"/>
    </row>
    <row r="11" spans="1:7" x14ac:dyDescent="0.35">
      <c r="A11" s="1"/>
      <c r="B11" s="99" t="s">
        <v>83</v>
      </c>
      <c r="C11" s="100"/>
      <c r="D11" s="101"/>
      <c r="E11" s="59">
        <v>14022.857089879415</v>
      </c>
      <c r="F11" s="8" t="s">
        <v>3</v>
      </c>
      <c r="G11" s="1"/>
    </row>
    <row r="12" spans="1:7" x14ac:dyDescent="0.35">
      <c r="A12" s="1"/>
      <c r="B12" s="86" t="s">
        <v>67</v>
      </c>
      <c r="C12" s="87"/>
      <c r="D12" s="88"/>
      <c r="E12" s="59">
        <v>357287.55060599995</v>
      </c>
      <c r="F12" s="8" t="s">
        <v>3</v>
      </c>
      <c r="G12" s="1"/>
    </row>
    <row r="13" spans="1:7" x14ac:dyDescent="0.35">
      <c r="A13" s="1"/>
      <c r="B13" s="86" t="s">
        <v>68</v>
      </c>
      <c r="C13" s="87"/>
      <c r="D13" s="88"/>
      <c r="E13" s="57">
        <v>430048.42552479997</v>
      </c>
      <c r="F13" s="8" t="s">
        <v>3</v>
      </c>
      <c r="G13" s="1"/>
    </row>
    <row r="14" spans="1:7" x14ac:dyDescent="0.35">
      <c r="A14" s="1"/>
      <c r="B14" s="86" t="s">
        <v>41</v>
      </c>
      <c r="C14" s="87"/>
      <c r="D14" s="88"/>
      <c r="E14" s="57">
        <v>0</v>
      </c>
      <c r="F14" s="8" t="s">
        <v>3</v>
      </c>
      <c r="G14" s="1"/>
    </row>
    <row r="15" spans="1:7" x14ac:dyDescent="0.35">
      <c r="A15" s="1"/>
      <c r="B15" s="86" t="s">
        <v>40</v>
      </c>
      <c r="C15" s="87"/>
      <c r="D15" s="88"/>
      <c r="E15" s="57">
        <v>0</v>
      </c>
      <c r="F15" s="8" t="s">
        <v>3</v>
      </c>
      <c r="G15" s="1"/>
    </row>
    <row r="16" spans="1:7" x14ac:dyDescent="0.35">
      <c r="A16" s="1"/>
      <c r="B16" s="86" t="s">
        <v>43</v>
      </c>
      <c r="C16" s="87"/>
      <c r="D16" s="88"/>
      <c r="E16" s="57">
        <v>0</v>
      </c>
      <c r="F16" s="8" t="s">
        <v>3</v>
      </c>
      <c r="G16" s="1"/>
    </row>
    <row r="17" spans="1:7" x14ac:dyDescent="0.35">
      <c r="A17" s="1"/>
      <c r="B17" s="86" t="s">
        <v>42</v>
      </c>
      <c r="C17" s="87"/>
      <c r="D17" s="88"/>
      <c r="E17" s="57">
        <v>0</v>
      </c>
      <c r="F17" s="8" t="s">
        <v>3</v>
      </c>
      <c r="G17" s="1"/>
    </row>
    <row r="18" spans="1:7" x14ac:dyDescent="0.35">
      <c r="A18" s="1"/>
      <c r="B18" s="86" t="s">
        <v>26</v>
      </c>
      <c r="C18" s="87"/>
      <c r="D18" s="88"/>
      <c r="E18" s="57">
        <f>SUM(E9:E17)*'Fane 14. Nøgletal'!C11</f>
        <v>286459.83501350117</v>
      </c>
      <c r="F18" s="8" t="s">
        <v>3</v>
      </c>
      <c r="G18" s="1"/>
    </row>
    <row r="19" spans="1:7" x14ac:dyDescent="0.35">
      <c r="A19" s="1"/>
      <c r="B19" s="86" t="s">
        <v>10</v>
      </c>
      <c r="C19" s="87"/>
      <c r="D19" s="88"/>
      <c r="E19" s="57">
        <f>-SUM(E9:E18)*'Fane 5. Individuelt eff. krav'!G10</f>
        <v>-344734.91860973887</v>
      </c>
      <c r="F19" s="8" t="s">
        <v>3</v>
      </c>
      <c r="G19" s="1"/>
    </row>
    <row r="20" spans="1:7" x14ac:dyDescent="0.35">
      <c r="A20" s="1"/>
      <c r="B20" s="86" t="s">
        <v>38</v>
      </c>
      <c r="C20" s="87"/>
      <c r="D20" s="88"/>
      <c r="E20" s="57">
        <f>-'Fane 4.1. Gen. krav - drift'!G20</f>
        <v>-160119.29601304242</v>
      </c>
      <c r="F20" s="8" t="s">
        <v>3</v>
      </c>
      <c r="G20" s="1"/>
    </row>
    <row r="21" spans="1:7" x14ac:dyDescent="0.35">
      <c r="A21" s="1"/>
      <c r="B21" s="86" t="s">
        <v>39</v>
      </c>
      <c r="C21" s="87"/>
      <c r="D21" s="88"/>
      <c r="E21" s="57">
        <f>-'Fane 4.2. Gen. krav - anlæg'!G19</f>
        <v>-86330.071586657898</v>
      </c>
      <c r="F21" s="8" t="s">
        <v>3</v>
      </c>
      <c r="G21" s="1"/>
    </row>
    <row r="22" spans="1:7" x14ac:dyDescent="0.35">
      <c r="A22" s="1"/>
      <c r="B22" s="89" t="s">
        <v>28</v>
      </c>
      <c r="C22" s="90"/>
      <c r="D22" s="91"/>
      <c r="E22" s="10">
        <f>SUM(E9:E21)</f>
        <v>16645561.644277506</v>
      </c>
      <c r="F22" s="11" t="s">
        <v>3</v>
      </c>
      <c r="G22" s="1"/>
    </row>
    <row r="23" spans="1:7" x14ac:dyDescent="0.35">
      <c r="A23" s="1"/>
      <c r="B23" s="102" t="s">
        <v>17</v>
      </c>
      <c r="C23" s="103"/>
      <c r="D23" s="103"/>
      <c r="E23" s="40"/>
      <c r="F23" s="22"/>
      <c r="G23" s="1"/>
    </row>
    <row r="24" spans="1:7" x14ac:dyDescent="0.35">
      <c r="A24" s="1"/>
      <c r="B24" s="92" t="s">
        <v>17</v>
      </c>
      <c r="C24" s="93"/>
      <c r="D24" s="94"/>
      <c r="E24" s="10">
        <v>6250228.7276003417</v>
      </c>
      <c r="F24" s="11" t="s">
        <v>3</v>
      </c>
      <c r="G24" s="1"/>
    </row>
    <row r="25" spans="1:7" x14ac:dyDescent="0.3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35">
      <c r="A26" s="1"/>
      <c r="B26" s="95" t="s">
        <v>132</v>
      </c>
      <c r="C26" s="96"/>
      <c r="D26" s="97"/>
      <c r="E26" s="10">
        <v>30684.665924519082</v>
      </c>
      <c r="F26" s="11" t="s">
        <v>3</v>
      </c>
      <c r="G26" s="1"/>
    </row>
    <row r="27" spans="1:7" x14ac:dyDescent="0.35">
      <c r="A27" s="1"/>
      <c r="B27" s="39" t="s">
        <v>11</v>
      </c>
      <c r="C27" s="40"/>
      <c r="D27" s="40"/>
      <c r="E27" s="40"/>
      <c r="F27" s="22"/>
      <c r="G27" s="1"/>
    </row>
    <row r="28" spans="1:7" x14ac:dyDescent="0.35">
      <c r="A28" s="1"/>
      <c r="B28" s="92" t="s">
        <v>19</v>
      </c>
      <c r="C28" s="93"/>
      <c r="D28" s="94"/>
      <c r="E28" s="10">
        <v>0</v>
      </c>
      <c r="F28" s="11" t="s">
        <v>3</v>
      </c>
      <c r="G28" s="1"/>
    </row>
    <row r="29" spans="1:7" x14ac:dyDescent="0.35">
      <c r="A29" s="1"/>
      <c r="B29" s="39" t="s">
        <v>160</v>
      </c>
      <c r="C29" s="40"/>
      <c r="D29" s="40"/>
      <c r="E29" s="40"/>
      <c r="F29" s="22"/>
      <c r="G29" s="1"/>
    </row>
    <row r="30" spans="1:7" x14ac:dyDescent="0.35">
      <c r="A30" s="1"/>
      <c r="B30" s="92" t="s">
        <v>131</v>
      </c>
      <c r="C30" s="93"/>
      <c r="D30" s="94"/>
      <c r="E30" s="10">
        <v>-676746.78190817998</v>
      </c>
      <c r="F30" s="11" t="s">
        <v>3</v>
      </c>
      <c r="G30" s="1"/>
    </row>
    <row r="31" spans="1:7" x14ac:dyDescent="0.35">
      <c r="A31" s="1"/>
      <c r="B31" s="39" t="s">
        <v>23</v>
      </c>
      <c r="C31" s="40"/>
      <c r="D31" s="40"/>
      <c r="E31" s="12">
        <f>SUM(E28,E26,E24,E22,E30)</f>
        <v>22249728.255894188</v>
      </c>
      <c r="F31" s="13" t="s">
        <v>3</v>
      </c>
      <c r="G31" s="1"/>
    </row>
    <row r="32" spans="1:7" ht="28.15" customHeight="1" x14ac:dyDescent="0.35">
      <c r="A32" s="1"/>
      <c r="B32" s="83" t="s">
        <v>189</v>
      </c>
      <c r="C32" s="84"/>
      <c r="D32" s="84"/>
      <c r="E32" s="84"/>
      <c r="F32" s="85"/>
      <c r="G32" s="1"/>
    </row>
    <row r="33" spans="1:7" x14ac:dyDescent="0.35">
      <c r="A33" s="1"/>
      <c r="B33" s="1"/>
      <c r="C33" s="1"/>
      <c r="D33" s="1"/>
      <c r="E33" s="1"/>
      <c r="F33" s="1"/>
      <c r="G33" s="1"/>
    </row>
    <row r="34" spans="1:7" x14ac:dyDescent="0.35">
      <c r="A34" s="1"/>
      <c r="B34" s="1"/>
      <c r="C34" s="1"/>
      <c r="D34" s="1"/>
      <c r="E34" s="1"/>
      <c r="F34" s="1"/>
      <c r="G34" s="1"/>
    </row>
    <row r="35" spans="1:7" x14ac:dyDescent="0.35">
      <c r="A35" s="1"/>
      <c r="B35" s="1"/>
      <c r="C35" s="1"/>
      <c r="D35" s="1"/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/>
      <c r="B37" s="1"/>
      <c r="C37" s="1"/>
      <c r="D37" s="1"/>
      <c r="E37" s="1"/>
      <c r="F37" s="1"/>
      <c r="G37" s="1"/>
    </row>
    <row r="38" spans="1:7" x14ac:dyDescent="0.35">
      <c r="A38" s="1"/>
      <c r="B38" s="1"/>
      <c r="C38" s="1"/>
      <c r="D38" s="1"/>
      <c r="E38" s="1"/>
      <c r="F38" s="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/>
      <c r="B40" s="1"/>
      <c r="C40" s="1"/>
      <c r="D40" s="1"/>
      <c r="E40" s="1"/>
      <c r="F40" s="1"/>
      <c r="G40" s="1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</sheetData>
  <sheetProtection algorithmName="SHA-512" hashValue="kE1N9pOYLJ1vUpTciyts18v5HTD/J7B2OzitG4EfrmPy9W43Y15XA7qfLIbWfglZCBklGxFsAME4ilkRU6Jw9A==" saltValue="Gdf8jsj8A8gnNdTaEDCyfg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08984375" defaultRowHeight="14.5" x14ac:dyDescent="0.35"/>
  <cols>
    <col min="1" max="1" width="6.08984375" style="2" customWidth="1"/>
    <col min="2" max="5" width="9.08984375" style="2"/>
    <col min="6" max="6" width="23.26953125" style="2" customWidth="1"/>
    <col min="7" max="7" width="10.26953125" style="2" customWidth="1"/>
    <col min="8" max="8" width="4.26953125" style="2" customWidth="1"/>
    <col min="9" max="9" width="6.7265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35">
      <c r="A2" s="1"/>
      <c r="B2" s="81" t="s">
        <v>202</v>
      </c>
      <c r="C2" s="81"/>
      <c r="D2" s="81"/>
      <c r="E2" s="81"/>
      <c r="F2" s="81"/>
      <c r="G2" s="81"/>
      <c r="H2" s="81"/>
      <c r="I2" s="1"/>
    </row>
    <row r="3" spans="1:9" ht="15" customHeight="1" x14ac:dyDescent="0.35">
      <c r="A3" s="1"/>
      <c r="B3" s="81"/>
      <c r="C3" s="81"/>
      <c r="D3" s="81"/>
      <c r="E3" s="81"/>
      <c r="F3" s="81"/>
      <c r="G3" s="81"/>
      <c r="H3" s="81"/>
      <c r="I3" s="1"/>
    </row>
    <row r="4" spans="1:9" ht="15" customHeight="1" x14ac:dyDescent="0.3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35">
      <c r="A5" s="1"/>
      <c r="B5" s="104" t="s">
        <v>97</v>
      </c>
      <c r="C5" s="105"/>
      <c r="D5" s="105"/>
      <c r="E5" s="105"/>
      <c r="F5" s="105"/>
      <c r="G5" s="105"/>
      <c r="H5" s="106"/>
      <c r="I5" s="1"/>
    </row>
    <row r="6" spans="1:9" x14ac:dyDescent="0.35">
      <c r="A6" s="1"/>
      <c r="B6" s="107" t="s">
        <v>86</v>
      </c>
      <c r="C6" s="108"/>
      <c r="D6" s="108"/>
      <c r="E6" s="108"/>
      <c r="F6" s="109"/>
      <c r="G6" s="26">
        <v>7727377.2794819884</v>
      </c>
      <c r="H6" s="14" t="s">
        <v>3</v>
      </c>
      <c r="I6" s="1"/>
    </row>
    <row r="7" spans="1:9" x14ac:dyDescent="0.35">
      <c r="A7" s="1"/>
      <c r="B7" s="107" t="s">
        <v>87</v>
      </c>
      <c r="C7" s="108"/>
      <c r="D7" s="108"/>
      <c r="E7" s="108"/>
      <c r="F7" s="109"/>
      <c r="G7" s="26">
        <f>G6*'Fane 14. Nøgletal'!C25</f>
        <v>154547.54558963978</v>
      </c>
      <c r="H7" s="14" t="s">
        <v>3</v>
      </c>
      <c r="I7" s="1"/>
    </row>
    <row r="8" spans="1:9" x14ac:dyDescent="0.3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35">
      <c r="A9" s="1"/>
      <c r="B9" s="1"/>
      <c r="C9" s="1"/>
      <c r="D9" s="1"/>
      <c r="E9" s="1"/>
      <c r="F9" s="1"/>
      <c r="G9" s="1"/>
      <c r="H9" s="1"/>
      <c r="I9" s="1"/>
    </row>
    <row r="10" spans="1:9" x14ac:dyDescent="0.35">
      <c r="A10" s="1"/>
      <c r="B10" s="104" t="s">
        <v>98</v>
      </c>
      <c r="C10" s="105"/>
      <c r="D10" s="105"/>
      <c r="E10" s="105"/>
      <c r="F10" s="105"/>
      <c r="G10" s="105"/>
      <c r="H10" s="106"/>
      <c r="I10" s="1"/>
    </row>
    <row r="11" spans="1:9" x14ac:dyDescent="0.35">
      <c r="A11" s="1"/>
      <c r="B11" s="107" t="s">
        <v>88</v>
      </c>
      <c r="C11" s="108"/>
      <c r="D11" s="108"/>
      <c r="E11" s="108"/>
      <c r="F11" s="109"/>
      <c r="G11" s="26">
        <f>(G6-G7)*(1+'Fane 14. Nøgletal'!C9)</f>
        <v>7669004.6715127807</v>
      </c>
      <c r="H11" s="14" t="s">
        <v>3</v>
      </c>
      <c r="I11" s="1"/>
    </row>
    <row r="12" spans="1:9" x14ac:dyDescent="0.35">
      <c r="A12" s="1"/>
      <c r="B12" s="110" t="s">
        <v>89</v>
      </c>
      <c r="C12" s="111"/>
      <c r="D12" s="111"/>
      <c r="E12" s="111"/>
      <c r="F12" s="112"/>
      <c r="G12" s="26">
        <v>0</v>
      </c>
      <c r="H12" s="14" t="s">
        <v>3</v>
      </c>
      <c r="I12" s="1"/>
    </row>
    <row r="13" spans="1:9" x14ac:dyDescent="0.35">
      <c r="A13" s="1"/>
      <c r="B13" s="107" t="s">
        <v>90</v>
      </c>
      <c r="C13" s="108"/>
      <c r="D13" s="108"/>
      <c r="E13" s="108"/>
      <c r="F13" s="109"/>
      <c r="G13" s="26">
        <f>(G11+G12)*'Fane 14. Nøgletal'!C25</f>
        <v>153380.09343025563</v>
      </c>
      <c r="H13" s="14" t="s">
        <v>3</v>
      </c>
      <c r="I13" s="1"/>
    </row>
    <row r="14" spans="1:9" x14ac:dyDescent="0.3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04" t="s">
        <v>99</v>
      </c>
      <c r="C16" s="105"/>
      <c r="D16" s="105"/>
      <c r="E16" s="105"/>
      <c r="F16" s="105"/>
      <c r="G16" s="105"/>
      <c r="H16" s="106"/>
      <c r="I16" s="1"/>
    </row>
    <row r="17" spans="1:9" x14ac:dyDescent="0.35">
      <c r="A17" s="1"/>
      <c r="B17" s="107" t="s">
        <v>91</v>
      </c>
      <c r="C17" s="108"/>
      <c r="D17" s="108"/>
      <c r="E17" s="108"/>
      <c r="F17" s="109"/>
      <c r="G17" s="26">
        <f>(G13/'Fane 14. Nøgletal'!C25-G13)*(1+'Fane 14. Nøgletal'!C11)</f>
        <v>7642638.6334521202</v>
      </c>
      <c r="H17" s="14" t="s">
        <v>3</v>
      </c>
      <c r="I17" s="1"/>
    </row>
    <row r="18" spans="1:9" x14ac:dyDescent="0.35">
      <c r="A18" s="1"/>
      <c r="B18" s="107" t="s">
        <v>222</v>
      </c>
      <c r="C18" s="108"/>
      <c r="D18" s="108"/>
      <c r="E18" s="108"/>
      <c r="F18" s="109"/>
      <c r="G18" s="26">
        <v>0</v>
      </c>
      <c r="H18" s="14" t="s">
        <v>3</v>
      </c>
      <c r="I18" s="58"/>
    </row>
    <row r="19" spans="1:9" x14ac:dyDescent="0.35">
      <c r="A19" s="1"/>
      <c r="B19" s="110" t="s">
        <v>92</v>
      </c>
      <c r="C19" s="111"/>
      <c r="D19" s="111"/>
      <c r="E19" s="111"/>
      <c r="F19" s="112"/>
      <c r="G19" s="26">
        <f>357288*1.0169</f>
        <v>363326.16719999997</v>
      </c>
      <c r="H19" s="14" t="s">
        <v>3</v>
      </c>
      <c r="I19" s="1"/>
    </row>
    <row r="20" spans="1:9" x14ac:dyDescent="0.35">
      <c r="A20" s="1"/>
      <c r="B20" s="107" t="s">
        <v>93</v>
      </c>
      <c r="C20" s="108"/>
      <c r="D20" s="108"/>
      <c r="E20" s="108"/>
      <c r="F20" s="109"/>
      <c r="G20" s="26">
        <f>SUM(G17:G19)*'Fane 14. Nøgletal'!C25</f>
        <v>160119.29601304242</v>
      </c>
      <c r="H20" s="14" t="s">
        <v>3</v>
      </c>
      <c r="I20" s="1"/>
    </row>
    <row r="21" spans="1:9" x14ac:dyDescent="0.3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04" t="s">
        <v>100</v>
      </c>
      <c r="C23" s="105"/>
      <c r="D23" s="105"/>
      <c r="E23" s="105"/>
      <c r="F23" s="105"/>
      <c r="G23" s="105"/>
      <c r="H23" s="106"/>
      <c r="I23" s="1"/>
    </row>
    <row r="24" spans="1:9" x14ac:dyDescent="0.35">
      <c r="A24" s="1"/>
      <c r="B24" s="107" t="s">
        <v>94</v>
      </c>
      <c r="C24" s="108"/>
      <c r="D24" s="108"/>
      <c r="E24" s="108"/>
      <c r="F24" s="109"/>
      <c r="G24" s="26">
        <f>(SUM(G17:G19)-G20)*(1+'Fane 14. Nøgletal'!C11)</f>
        <v>7978440.2936674776</v>
      </c>
      <c r="H24" s="14" t="s">
        <v>3</v>
      </c>
      <c r="I24" s="1"/>
    </row>
    <row r="25" spans="1:9" x14ac:dyDescent="0.35">
      <c r="A25" s="1"/>
      <c r="B25" s="110" t="s">
        <v>95</v>
      </c>
      <c r="C25" s="111"/>
      <c r="D25" s="111"/>
      <c r="E25" s="111"/>
      <c r="F25" s="112"/>
      <c r="G25" s="26">
        <f>('Fane 2.1. Økonomisk ramme 2020'!C10+'Fane 2.1. Økonomisk ramme 2020'!C12+'Fane 2.1. Økonomisk ramme 2020'!C14)*(1+'Fane 14. Nøgletal'!C12)</f>
        <v>1103366.8966985992</v>
      </c>
      <c r="H25" s="14" t="s">
        <v>3</v>
      </c>
      <c r="I25" s="1"/>
    </row>
    <row r="26" spans="1:9" x14ac:dyDescent="0.35">
      <c r="A26" s="1"/>
      <c r="B26" s="107" t="s">
        <v>96</v>
      </c>
      <c r="C26" s="108"/>
      <c r="D26" s="108"/>
      <c r="E26" s="108"/>
      <c r="F26" s="109"/>
      <c r="G26" s="26">
        <f>(G24+G25)*'Fane 14. Nøgletal'!C25</f>
        <v>181636.14380732152</v>
      </c>
      <c r="H26" s="14" t="s">
        <v>3</v>
      </c>
      <c r="I26" s="1"/>
    </row>
    <row r="27" spans="1:9" x14ac:dyDescent="0.3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04" t="s">
        <v>191</v>
      </c>
      <c r="C29" s="105"/>
      <c r="D29" s="105"/>
      <c r="E29" s="105"/>
      <c r="F29" s="105"/>
      <c r="G29" s="105"/>
      <c r="H29" s="106"/>
      <c r="I29" s="1"/>
    </row>
    <row r="30" spans="1:9" x14ac:dyDescent="0.35">
      <c r="A30" s="1"/>
      <c r="B30" s="107" t="s">
        <v>103</v>
      </c>
      <c r="C30" s="108"/>
      <c r="D30" s="108"/>
      <c r="E30" s="108"/>
      <c r="F30" s="109"/>
      <c r="G30" s="26">
        <f>(G24+G25-G26)*(1+'Fane 14. Nøgletal'!C12)</f>
        <v>9075504.4161759634</v>
      </c>
      <c r="H30" s="14" t="s">
        <v>3</v>
      </c>
      <c r="I30" s="1"/>
    </row>
    <row r="31" spans="1:9" x14ac:dyDescent="0.35">
      <c r="A31" s="1"/>
      <c r="B31" s="107" t="s">
        <v>145</v>
      </c>
      <c r="C31" s="108"/>
      <c r="D31" s="108"/>
      <c r="E31" s="108"/>
      <c r="F31" s="109"/>
      <c r="G31" s="26">
        <f>-'Fane 12. Bortfald'!C19*(1+'Fane 14. Nøgletal'!C12)</f>
        <v>0</v>
      </c>
      <c r="H31" s="14" t="s">
        <v>3</v>
      </c>
      <c r="I31" s="1"/>
    </row>
    <row r="32" spans="1:9" x14ac:dyDescent="0.35">
      <c r="A32" s="1"/>
      <c r="B32" s="107" t="s">
        <v>220</v>
      </c>
      <c r="C32" s="108"/>
      <c r="D32" s="108"/>
      <c r="E32" s="108"/>
      <c r="F32" s="109"/>
      <c r="G32" s="26">
        <f>(G30+G31)*'Fane 14. Nøgletal'!C25</f>
        <v>181510.08832351927</v>
      </c>
      <c r="H32" s="14" t="s">
        <v>3</v>
      </c>
      <c r="I32" s="1"/>
    </row>
    <row r="33" spans="1:9" x14ac:dyDescent="0.3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04" t="s">
        <v>126</v>
      </c>
      <c r="C35" s="105"/>
      <c r="D35" s="105"/>
      <c r="E35" s="105"/>
      <c r="F35" s="105"/>
      <c r="G35" s="105"/>
      <c r="H35" s="106"/>
      <c r="I35" s="1"/>
    </row>
    <row r="36" spans="1:9" x14ac:dyDescent="0.35">
      <c r="A36" s="1"/>
      <c r="B36" s="107" t="s">
        <v>125</v>
      </c>
      <c r="C36" s="108"/>
      <c r="D36" s="108"/>
      <c r="E36" s="108"/>
      <c r="F36" s="109"/>
      <c r="G36" s="26">
        <f>(G30-G32)*(1+'Fane 14. Nøgletal'!C12)</f>
        <v>9069206.0161111392</v>
      </c>
      <c r="H36" s="14" t="s">
        <v>3</v>
      </c>
      <c r="I36" s="1"/>
    </row>
    <row r="37" spans="1:9" x14ac:dyDescent="0.35">
      <c r="A37" s="1"/>
      <c r="B37" s="107" t="s">
        <v>146</v>
      </c>
      <c r="C37" s="108"/>
      <c r="D37" s="108"/>
      <c r="E37" s="108"/>
      <c r="F37" s="109"/>
      <c r="G37" s="26">
        <f>-'Fane 12. Bortfald'!C26*(1+'Fane 14. Nøgletal'!C12)</f>
        <v>0</v>
      </c>
      <c r="H37" s="14" t="s">
        <v>3</v>
      </c>
      <c r="I37" s="1"/>
    </row>
    <row r="38" spans="1:9" x14ac:dyDescent="0.35">
      <c r="A38" s="1"/>
      <c r="B38" s="107" t="s">
        <v>104</v>
      </c>
      <c r="C38" s="108"/>
      <c r="D38" s="108"/>
      <c r="E38" s="108"/>
      <c r="F38" s="109"/>
      <c r="G38" s="26">
        <f>(G36+G37)*'Fane 14. Nøgletal'!C25</f>
        <v>181384.12032222279</v>
      </c>
      <c r="H38" s="14" t="s">
        <v>3</v>
      </c>
      <c r="I38" s="1"/>
    </row>
    <row r="39" spans="1:9" x14ac:dyDescent="0.3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04" t="s">
        <v>127</v>
      </c>
      <c r="C41" s="105"/>
      <c r="D41" s="105"/>
      <c r="E41" s="105"/>
      <c r="F41" s="105"/>
      <c r="G41" s="105"/>
      <c r="H41" s="106"/>
      <c r="I41" s="1"/>
    </row>
    <row r="42" spans="1:9" x14ac:dyDescent="0.35">
      <c r="A42" s="1"/>
      <c r="B42" s="107" t="s">
        <v>124</v>
      </c>
      <c r="C42" s="108"/>
      <c r="D42" s="108"/>
      <c r="E42" s="108"/>
      <c r="F42" s="109"/>
      <c r="G42" s="26">
        <f>(G36-G38)*(1+'Fane 14. Nøgletal'!C12)</f>
        <v>9062911.9871359598</v>
      </c>
      <c r="H42" s="14" t="s">
        <v>3</v>
      </c>
      <c r="I42" s="1"/>
    </row>
    <row r="43" spans="1:9" x14ac:dyDescent="0.35">
      <c r="A43" s="1"/>
      <c r="B43" s="107" t="s">
        <v>147</v>
      </c>
      <c r="C43" s="108"/>
      <c r="D43" s="108"/>
      <c r="E43" s="108"/>
      <c r="F43" s="109"/>
      <c r="G43" s="26">
        <f>-'Fane 12. Bortfald'!C33*(1+'Fane 14. Nøgletal'!C12)</f>
        <v>0</v>
      </c>
      <c r="H43" s="14" t="s">
        <v>3</v>
      </c>
      <c r="I43" s="1"/>
    </row>
    <row r="44" spans="1:9" x14ac:dyDescent="0.35">
      <c r="A44" s="1"/>
      <c r="B44" s="107" t="s">
        <v>105</v>
      </c>
      <c r="C44" s="108"/>
      <c r="D44" s="108"/>
      <c r="E44" s="108"/>
      <c r="F44" s="109"/>
      <c r="G44" s="26">
        <f>(G42+G43)*'Fane 14. Nøgletal'!C25</f>
        <v>181258.23974271919</v>
      </c>
      <c r="H44" s="14" t="s">
        <v>3</v>
      </c>
      <c r="I44" s="1"/>
    </row>
    <row r="45" spans="1:9" x14ac:dyDescent="0.3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bYDVRzPuj4Ej18qdAytyJ4q/sN5PyD57gpVFswOIncmoUA7L6RlAz5uuXO+Vt81qU+OX7JMa/d3SzfZTOnMcg==" saltValue="Sqxv/kFVHyGeb1bI7cKXu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08984375" defaultRowHeight="14.5" x14ac:dyDescent="0.35"/>
  <cols>
    <col min="1" max="1" width="6.08984375" style="2" customWidth="1"/>
    <col min="2" max="5" width="9.08984375" style="2"/>
    <col min="6" max="6" width="23.26953125" style="2" customWidth="1"/>
    <col min="7" max="7" width="10.26953125" style="2" customWidth="1"/>
    <col min="8" max="8" width="4.26953125" style="2" customWidth="1"/>
    <col min="9" max="9" width="6.7265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18.5" x14ac:dyDescent="0.45">
      <c r="A2" s="1"/>
      <c r="B2" s="113" t="s">
        <v>203</v>
      </c>
      <c r="C2" s="113"/>
      <c r="D2" s="113"/>
      <c r="E2" s="113"/>
      <c r="F2" s="113"/>
      <c r="G2" s="113"/>
      <c r="H2" s="113"/>
      <c r="I2" s="1"/>
    </row>
    <row r="3" spans="1:9" ht="18.5" x14ac:dyDescent="0.45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35">
      <c r="A4" s="1"/>
      <c r="B4" s="104" t="s">
        <v>101</v>
      </c>
      <c r="C4" s="105"/>
      <c r="D4" s="105"/>
      <c r="E4" s="105"/>
      <c r="F4" s="105"/>
      <c r="G4" s="105"/>
      <c r="H4" s="106"/>
      <c r="I4" s="1"/>
    </row>
    <row r="5" spans="1:9" x14ac:dyDescent="0.35">
      <c r="A5" s="1"/>
      <c r="B5" s="107" t="s">
        <v>106</v>
      </c>
      <c r="C5" s="108"/>
      <c r="D5" s="108"/>
      <c r="E5" s="108"/>
      <c r="F5" s="109"/>
      <c r="G5" s="26">
        <v>9366911.7696834467</v>
      </c>
      <c r="H5" s="14" t="s">
        <v>3</v>
      </c>
      <c r="I5" s="1"/>
    </row>
    <row r="6" spans="1:9" x14ac:dyDescent="0.35">
      <c r="A6" s="1"/>
      <c r="B6" s="107" t="s">
        <v>102</v>
      </c>
      <c r="C6" s="108"/>
      <c r="D6" s="108"/>
      <c r="E6" s="108"/>
      <c r="F6" s="109"/>
      <c r="G6" s="26">
        <f>G5*'Fane 14. Nøgletal'!C17</f>
        <v>85238.897104119373</v>
      </c>
      <c r="H6" s="14" t="s">
        <v>3</v>
      </c>
      <c r="I6" s="1"/>
    </row>
    <row r="7" spans="1:9" x14ac:dyDescent="0.3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35">
      <c r="A8" s="1"/>
      <c r="B8" s="1"/>
      <c r="C8" s="1"/>
      <c r="D8" s="1"/>
      <c r="E8" s="1"/>
      <c r="F8" s="1"/>
      <c r="G8" s="1"/>
      <c r="H8" s="1"/>
      <c r="I8" s="1"/>
    </row>
    <row r="9" spans="1:9" x14ac:dyDescent="0.35">
      <c r="A9" s="1"/>
      <c r="B9" s="104" t="s">
        <v>107</v>
      </c>
      <c r="C9" s="105"/>
      <c r="D9" s="105"/>
      <c r="E9" s="105"/>
      <c r="F9" s="105"/>
      <c r="G9" s="105"/>
      <c r="H9" s="106"/>
      <c r="I9" s="1"/>
    </row>
    <row r="10" spans="1:9" x14ac:dyDescent="0.35">
      <c r="A10" s="1"/>
      <c r="B10" s="107" t="s">
        <v>108</v>
      </c>
      <c r="C10" s="108"/>
      <c r="D10" s="108"/>
      <c r="E10" s="108"/>
      <c r="F10" s="109"/>
      <c r="G10" s="26">
        <f>(G5-G6)*(1+'Fane 14. Nøgletal'!C9)</f>
        <v>9399550.1180610843</v>
      </c>
      <c r="H10" s="14" t="s">
        <v>3</v>
      </c>
      <c r="I10" s="1"/>
    </row>
    <row r="11" spans="1:9" x14ac:dyDescent="0.35">
      <c r="A11" s="1"/>
      <c r="B11" s="110" t="s">
        <v>109</v>
      </c>
      <c r="C11" s="111"/>
      <c r="D11" s="111"/>
      <c r="E11" s="111"/>
      <c r="F11" s="112"/>
      <c r="G11" s="26">
        <v>0</v>
      </c>
      <c r="H11" s="14" t="s">
        <v>3</v>
      </c>
      <c r="I11" s="1"/>
    </row>
    <row r="12" spans="1:9" x14ac:dyDescent="0.35">
      <c r="A12" s="1"/>
      <c r="B12" s="107" t="s">
        <v>110</v>
      </c>
      <c r="C12" s="108"/>
      <c r="D12" s="108"/>
      <c r="E12" s="108"/>
      <c r="F12" s="109"/>
      <c r="G12" s="26">
        <f>G10*'Fane 14. Nøgletal'!C17+G11*'Fane 14. Nøgletal'!C18</f>
        <v>85535.906074355866</v>
      </c>
      <c r="H12" s="14" t="s">
        <v>3</v>
      </c>
      <c r="I12" s="1"/>
    </row>
    <row r="13" spans="1:9" x14ac:dyDescent="0.3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04" t="s">
        <v>111</v>
      </c>
      <c r="C15" s="105"/>
      <c r="D15" s="105"/>
      <c r="E15" s="105"/>
      <c r="F15" s="105"/>
      <c r="G15" s="105"/>
      <c r="H15" s="106"/>
      <c r="I15" s="1"/>
    </row>
    <row r="16" spans="1:9" x14ac:dyDescent="0.35">
      <c r="A16" s="1"/>
      <c r="B16" s="107" t="s">
        <v>112</v>
      </c>
      <c r="C16" s="108"/>
      <c r="D16" s="108"/>
      <c r="E16" s="108"/>
      <c r="F16" s="109"/>
      <c r="G16" s="26">
        <f>(G10+G11-G12)*(1+'Fane 14. Nøgletal'!C11)</f>
        <v>9471421.0521693025</v>
      </c>
      <c r="H16" s="14" t="s">
        <v>3</v>
      </c>
      <c r="I16" s="1"/>
    </row>
    <row r="17" spans="1:9" x14ac:dyDescent="0.35">
      <c r="A17" s="1"/>
      <c r="B17" s="107" t="s">
        <v>223</v>
      </c>
      <c r="C17" s="108"/>
      <c r="D17" s="108"/>
      <c r="E17" s="108"/>
      <c r="F17" s="109"/>
      <c r="G17" s="26">
        <v>14259.843374698376</v>
      </c>
      <c r="H17" s="14" t="s">
        <v>3</v>
      </c>
      <c r="I17" s="1"/>
    </row>
    <row r="18" spans="1:9" x14ac:dyDescent="0.35">
      <c r="A18" s="1"/>
      <c r="B18" s="110" t="s">
        <v>113</v>
      </c>
      <c r="C18" s="111"/>
      <c r="D18" s="111"/>
      <c r="E18" s="111"/>
      <c r="F18" s="112"/>
      <c r="G18" s="26">
        <f>422901*1.0169^2</f>
        <v>437315.83855460992</v>
      </c>
      <c r="H18" s="14" t="s">
        <v>3</v>
      </c>
      <c r="I18" s="1"/>
    </row>
    <row r="19" spans="1:9" x14ac:dyDescent="0.35">
      <c r="A19" s="1"/>
      <c r="B19" s="107" t="s">
        <v>114</v>
      </c>
      <c r="C19" s="108"/>
      <c r="D19" s="108"/>
      <c r="E19" s="108"/>
      <c r="F19" s="109"/>
      <c r="G19" s="26">
        <f>SUM(G16:G18)*'Fane 14. Nøgletal'!C19</f>
        <v>86330.071586657898</v>
      </c>
      <c r="H19" s="14" t="s">
        <v>3</v>
      </c>
      <c r="I19" s="1"/>
    </row>
    <row r="20" spans="1:9" x14ac:dyDescent="0.3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04" t="s">
        <v>115</v>
      </c>
      <c r="C22" s="105"/>
      <c r="D22" s="105"/>
      <c r="E22" s="105"/>
      <c r="F22" s="105"/>
      <c r="G22" s="105"/>
      <c r="H22" s="106"/>
      <c r="I22" s="1"/>
    </row>
    <row r="23" spans="1:9" x14ac:dyDescent="0.35">
      <c r="A23" s="1"/>
      <c r="B23" s="107" t="s">
        <v>116</v>
      </c>
      <c r="C23" s="108"/>
      <c r="D23" s="108"/>
      <c r="E23" s="108"/>
      <c r="F23" s="109"/>
      <c r="G23" s="26">
        <f>(SUM(G16:G18)-G19)*(1+'Fane 14. Nøgletal'!C11)</f>
        <v>10002906.329108404</v>
      </c>
      <c r="H23" s="14" t="s">
        <v>3</v>
      </c>
      <c r="I23" s="1"/>
    </row>
    <row r="24" spans="1:9" x14ac:dyDescent="0.35">
      <c r="A24" s="1"/>
      <c r="B24" s="110" t="s">
        <v>117</v>
      </c>
      <c r="C24" s="111"/>
      <c r="D24" s="111"/>
      <c r="E24" s="111"/>
      <c r="F24" s="112"/>
      <c r="G24" s="26">
        <f>('Fane 2.1. Økonomisk ramme 2020'!C11+'Fane 2.1. Økonomisk ramme 2020'!C13+'Fane 2.1. Økonomisk ramme 2020'!C15)*(1+'Fane 14. Nøgletal'!C12)</f>
        <v>1253165.4824293831</v>
      </c>
      <c r="H24" s="14" t="s">
        <v>3</v>
      </c>
      <c r="I24" s="1"/>
    </row>
    <row r="25" spans="1:9" x14ac:dyDescent="0.35">
      <c r="A25" s="1"/>
      <c r="B25" s="107" t="s">
        <v>118</v>
      </c>
      <c r="C25" s="108"/>
      <c r="D25" s="108"/>
      <c r="E25" s="108"/>
      <c r="F25" s="109"/>
      <c r="G25" s="26">
        <f>G23*'Fane 14. Nøgletal'!C19+G24*'Fane 14. Nøgletal'!C20</f>
        <v>122615.18476423758</v>
      </c>
      <c r="H25" s="14" t="s">
        <v>3</v>
      </c>
      <c r="I25" s="1"/>
    </row>
    <row r="26" spans="1:9" x14ac:dyDescent="0.3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04" t="s">
        <v>190</v>
      </c>
      <c r="C28" s="105"/>
      <c r="D28" s="105"/>
      <c r="E28" s="105"/>
      <c r="F28" s="105"/>
      <c r="G28" s="105"/>
      <c r="H28" s="106"/>
      <c r="I28" s="1"/>
    </row>
    <row r="29" spans="1:9" x14ac:dyDescent="0.35">
      <c r="A29" s="1"/>
      <c r="B29" s="107" t="s">
        <v>119</v>
      </c>
      <c r="C29" s="108"/>
      <c r="D29" s="108"/>
      <c r="E29" s="108"/>
      <c r="F29" s="109"/>
      <c r="G29" s="26">
        <f>(G23+G24-G25)*(1+'Fane 14. Nøgletal'!C12)</f>
        <v>11352785.722320989</v>
      </c>
      <c r="H29" s="14" t="s">
        <v>3</v>
      </c>
      <c r="I29" s="1"/>
    </row>
    <row r="30" spans="1:9" x14ac:dyDescent="0.35">
      <c r="A30" s="1"/>
      <c r="B30" s="107" t="s">
        <v>151</v>
      </c>
      <c r="C30" s="108"/>
      <c r="D30" s="108"/>
      <c r="E30" s="108"/>
      <c r="F30" s="109"/>
      <c r="G30" s="26">
        <f>-'Fane 12. Bortfald'!E19*(1+'Fane 14. Nøgletal'!C12)</f>
        <v>0</v>
      </c>
      <c r="H30" s="14" t="s">
        <v>3</v>
      </c>
      <c r="I30" s="1"/>
    </row>
    <row r="31" spans="1:9" x14ac:dyDescent="0.35">
      <c r="A31" s="1"/>
      <c r="B31" s="107" t="s">
        <v>219</v>
      </c>
      <c r="C31" s="108"/>
      <c r="D31" s="108"/>
      <c r="E31" s="108"/>
      <c r="F31" s="109"/>
      <c r="G31" s="26">
        <f>(G29+G30)*'Fane 14. Nøgletal'!C20</f>
        <v>322419.11451391608</v>
      </c>
      <c r="H31" s="14" t="s">
        <v>3</v>
      </c>
      <c r="I31" s="1"/>
    </row>
    <row r="32" spans="1:9" x14ac:dyDescent="0.3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04" t="s">
        <v>128</v>
      </c>
      <c r="C34" s="105"/>
      <c r="D34" s="105"/>
      <c r="E34" s="105"/>
      <c r="F34" s="105"/>
      <c r="G34" s="105"/>
      <c r="H34" s="106"/>
      <c r="I34" s="1"/>
    </row>
    <row r="35" spans="1:9" x14ac:dyDescent="0.35">
      <c r="A35" s="1"/>
      <c r="B35" s="107" t="s">
        <v>123</v>
      </c>
      <c r="C35" s="108"/>
      <c r="D35" s="108"/>
      <c r="E35" s="108"/>
      <c r="F35" s="109"/>
      <c r="G35" s="26">
        <f>(G29-G31)*(1+'Fane 14. Nøgletal'!C12)</f>
        <v>11247664.829980873</v>
      </c>
      <c r="H35" s="14" t="s">
        <v>3</v>
      </c>
      <c r="I35" s="1"/>
    </row>
    <row r="36" spans="1:9" x14ac:dyDescent="0.35">
      <c r="A36" s="1"/>
      <c r="B36" s="107" t="s">
        <v>152</v>
      </c>
      <c r="C36" s="108"/>
      <c r="D36" s="108"/>
      <c r="E36" s="108"/>
      <c r="F36" s="109"/>
      <c r="G36" s="26">
        <f>-'Fane 12. Bortfald'!E26*(1+'Fane 14. Nøgletal'!C12)</f>
        <v>0</v>
      </c>
      <c r="H36" s="14" t="s">
        <v>3</v>
      </c>
      <c r="I36" s="1"/>
    </row>
    <row r="37" spans="1:9" x14ac:dyDescent="0.35">
      <c r="A37" s="1"/>
      <c r="B37" s="107" t="s">
        <v>120</v>
      </c>
      <c r="C37" s="108"/>
      <c r="D37" s="108"/>
      <c r="E37" s="108"/>
      <c r="F37" s="109"/>
      <c r="G37" s="26">
        <f>(G35+G36)*'Fane 14. Nøgletal'!C20</f>
        <v>319433.68117145682</v>
      </c>
      <c r="H37" s="14" t="s">
        <v>3</v>
      </c>
      <c r="I37" s="1"/>
    </row>
    <row r="38" spans="1:9" x14ac:dyDescent="0.3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04" t="s">
        <v>129</v>
      </c>
      <c r="C40" s="105"/>
      <c r="D40" s="105"/>
      <c r="E40" s="105"/>
      <c r="F40" s="105"/>
      <c r="G40" s="105"/>
      <c r="H40" s="106"/>
      <c r="I40" s="1"/>
    </row>
    <row r="41" spans="1:9" x14ac:dyDescent="0.35">
      <c r="A41" s="1"/>
      <c r="B41" s="107" t="s">
        <v>122</v>
      </c>
      <c r="C41" s="108"/>
      <c r="D41" s="108"/>
      <c r="E41" s="108"/>
      <c r="F41" s="109"/>
      <c r="G41" s="26">
        <f>(G35-G37)*(1+'Fane 14. Nøgletal'!C12)</f>
        <v>11143517.302440962</v>
      </c>
      <c r="H41" s="14" t="s">
        <v>3</v>
      </c>
      <c r="I41" s="1"/>
    </row>
    <row r="42" spans="1:9" x14ac:dyDescent="0.35">
      <c r="A42" s="1"/>
      <c r="B42" s="107" t="s">
        <v>153</v>
      </c>
      <c r="C42" s="108"/>
      <c r="D42" s="108"/>
      <c r="E42" s="108"/>
      <c r="F42" s="109"/>
      <c r="G42" s="26">
        <f>-'Fane 12. Bortfald'!E33*(1+'Fane 14. Nøgletal'!C12)</f>
        <v>0</v>
      </c>
      <c r="H42" s="14" t="s">
        <v>3</v>
      </c>
      <c r="I42" s="1"/>
    </row>
    <row r="43" spans="1:9" x14ac:dyDescent="0.35">
      <c r="A43" s="1"/>
      <c r="B43" s="107" t="s">
        <v>121</v>
      </c>
      <c r="C43" s="108"/>
      <c r="D43" s="108"/>
      <c r="E43" s="108"/>
      <c r="F43" s="109"/>
      <c r="G43" s="26">
        <f>(G41+G42)*'Fane 14. Nøgletal'!C20</f>
        <v>316475.89138932334</v>
      </c>
      <c r="H43" s="14" t="s">
        <v>3</v>
      </c>
      <c r="I43" s="1"/>
    </row>
    <row r="44" spans="1:9" x14ac:dyDescent="0.3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AirbeySc8E7HsGR/tzJhVgN6XqQupIeBQpPAJlFEytnss0fzROHs5B8h40RsGfS+m9YUlVKKsJi1Y6MzG0drQ==" saltValue="jiQk39lw0x6/ghrXRYkhn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08984375" defaultRowHeight="14.5" x14ac:dyDescent="0.35"/>
  <cols>
    <col min="1" max="1" width="7.81640625" style="2" customWidth="1"/>
    <col min="2" max="5" width="9.08984375" style="2"/>
    <col min="6" max="6" width="19.81640625" style="2" customWidth="1"/>
    <col min="7" max="7" width="10.26953125" style="2" customWidth="1"/>
    <col min="8" max="8" width="3.26953125" style="2" customWidth="1"/>
    <col min="9" max="9" width="7.81640625" style="2" customWidth="1"/>
    <col min="10" max="16384" width="9.08984375" style="2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35">
      <c r="A3" s="1"/>
      <c r="B3" s="81" t="s">
        <v>144</v>
      </c>
      <c r="C3" s="81"/>
      <c r="D3" s="81"/>
      <c r="E3" s="81"/>
      <c r="F3" s="81"/>
      <c r="G3" s="81"/>
      <c r="H3" s="81"/>
      <c r="I3" s="1"/>
    </row>
    <row r="4" spans="1:9" ht="15" customHeight="1" x14ac:dyDescent="0.3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x14ac:dyDescent="0.35">
      <c r="A8" s="1"/>
      <c r="B8" s="104" t="s">
        <v>10</v>
      </c>
      <c r="C8" s="105"/>
      <c r="D8" s="105"/>
      <c r="E8" s="105"/>
      <c r="F8" s="105"/>
      <c r="G8" s="105"/>
      <c r="H8" s="106"/>
      <c r="I8" s="1"/>
    </row>
    <row r="9" spans="1:9" x14ac:dyDescent="0.35">
      <c r="A9" s="1"/>
      <c r="B9" s="107" t="s">
        <v>178</v>
      </c>
      <c r="C9" s="108"/>
      <c r="D9" s="108"/>
      <c r="E9" s="108"/>
      <c r="F9" s="109"/>
      <c r="G9" s="25">
        <v>0.02</v>
      </c>
      <c r="H9" s="14"/>
      <c r="I9" s="1"/>
    </row>
    <row r="10" spans="1:9" x14ac:dyDescent="0.35">
      <c r="A10" s="1"/>
      <c r="B10" s="107" t="s">
        <v>179</v>
      </c>
      <c r="C10" s="108"/>
      <c r="D10" s="108"/>
      <c r="E10" s="108"/>
      <c r="F10" s="109"/>
      <c r="G10" s="25">
        <v>0.02</v>
      </c>
      <c r="H10" s="14"/>
      <c r="I10" s="1"/>
    </row>
    <row r="11" spans="1:9" x14ac:dyDescent="0.3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35">
      <c r="A13" s="20"/>
      <c r="B13" s="114"/>
      <c r="C13" s="114"/>
      <c r="D13" s="114"/>
      <c r="E13" s="114"/>
      <c r="F13" s="114"/>
      <c r="G13" s="114"/>
      <c r="H13" s="114"/>
      <c r="I13" s="20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dUK0XRaz4XDWH6Y0LbTN0ZzjWT9uga8hmhU39ZS1O6qwwsneuUcSBq8x7hIlUDPLmtdmLVgyd32Uy8DN4Ykzw==" saltValue="7SyeEZGXz8beiUJGSy4c+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Laurids Rudbeck Røge</cp:lastModifiedBy>
  <cp:lastPrinted>2016-06-14T12:57:30Z</cp:lastPrinted>
  <dcterms:created xsi:type="dcterms:W3CDTF">2016-06-02T08:51:18Z</dcterms:created>
  <dcterms:modified xsi:type="dcterms:W3CDTF">2020-10-29T13:06:57Z</dcterms:modified>
</cp:coreProperties>
</file>