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ALSNÆS VAND AS (V07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4" i="7"/>
  <c r="F10" i="9" l="1"/>
  <c r="F11" i="9" s="1"/>
  <c r="E12" i="12"/>
  <c r="C12" i="12"/>
  <c r="E12" i="2" l="1"/>
  <c r="E11" i="11"/>
  <c r="C11" i="11"/>
  <c r="C10" i="10" l="1"/>
  <c r="C15"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<sst xmlns="http://schemas.openxmlformats.org/spreadsheetml/2006/main" count="324" uniqueCount="155">
  <si>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</si>
  <si>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</si>
  <si>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</si>
  <si>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</si>
  <si>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</si>
  <si>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</si>
  <si>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</si>
  <si>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</si>
  <si>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</si>
  <si>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</si>
  <si>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</si>
  <si>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</si>
  <si>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</si>
  <si>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</si>
  <si>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</si>
  <si>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</si>
  <si>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</si>
  <si>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</si>
  <si>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</si>
  <si>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</si>
  <si>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</si>
  <si>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</si>
  <si>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</si>
  <si>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</si>
  <si>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</si>
  <si>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</si>
  <si>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</si>
  <si>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</si>
  <si>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</si>
  <si>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</si>
  <si>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</si>
  <si>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</si>
  <si>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</si>
  <si>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</si>
  <si>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</si>
  <si>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</si>
  <si>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</si>
  <si>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</si>
  <si>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</si>
  <si>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</si>
  <si>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</si>
  <si>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</si>
  <si>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</si>
  <si>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</si>
  <si>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</si>
  <si>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</si>
  <si>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</si>
  <si>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</si>
  <si>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</si>
  <si>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</si>
  <si>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</si>
  <si>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</si>
  <si>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</si>
  <si>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</si>
  <si>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</si>
  <si>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</si>
  <si>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</si>
  <si>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</si>
  <si>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</si>
  <si>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</si>
  <si>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</si>
  <si>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</si>
  <si>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</si>
  <si>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</si>
  <si>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</si>
  <si>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</si>
  <si>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</si>
  <si>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</si>
  <si>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</si>
  <si>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</si>
  <si>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</si>
  <si>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</si>
  <si>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</si>
  <si>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</si>
  <si>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</si>
  <si>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</si>
  <si>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</si>
  <si>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</si>
  <si>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</si>
  <si>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</si>
  <si>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</si>
  <si>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</si>
  <si>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</si>
  <si>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</si>
  <si>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</si>
  <si>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</si>
  <si>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</si>
  <si>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</si>
  <si>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</si>
  <si>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</si>
  <si>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</si>
  <si>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</si>
  <si>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</si>
  <si>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</si>
  <si>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</si>
  <si>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</si>
  <si>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</si>
  <si>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</si>
  <si>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</si>
  <si>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</si>
  <si>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</si>
  <si>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</si>
  <si>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</si>
  <si>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</si>
  <si>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</si>
  <si>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</si>
  <si>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</si>
  <si>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</si>
  <si>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</si>
  <si>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</si>
  <si>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</si>
  <si>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</si>
  <si>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</si>
  <si>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</si>
  <si>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</si>
  <si>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</si>
  <si>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</si>
  <si>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</si>
  <si>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</si>
  <si>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</si>
  <si>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67</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</si>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</sst>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9" width="6.5703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120</v>
      </c>
      <c r="D21" s="80" t="s">
        <v>108</v>
      </c>
      <c r="E21" s="81"/>
      <c r="F21" s="81"/>
      <c r="G21" s="82"/>
      <c r="H21" s="1"/>
      <c r="I21" s="1"/>
    </row>
    <row r="22" spans="1:9" x14ac:dyDescent="0.25">
      <c r="A22" s="1"/>
      <c r="B22" s="1"/>
      <c r="C22" s="6" t="s">
        <v>121</v>
      </c>
      <c r="D22" s="80" t="s">
        <v>35</v>
      </c>
      <c r="E22" s="81"/>
      <c r="F22" s="81"/>
      <c r="G22" s="82"/>
      <c r="H22" s="1"/>
      <c r="I22" s="1"/>
    </row>
    <row r="23" spans="1:9" x14ac:dyDescent="0.25">
      <c r="A23" s="1"/>
      <c r="B23" s="1"/>
      <c r="C23" s="6" t="s">
        <v>122</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123</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rpY7yKjslmRaFWTBzAzUjKZqxCn3uDZGbQRnEezao4N20dz1Er5WKgKd1eQoZrVhAQzM4N7TyptybdWjhDWJ5Q==" saltValue="LXfJEBdKMxgG6muVEyyyN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57" t="s">
        <v>136</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zyPNMkJgl2ZHNAL+QSCLQRgz85EjBy197j8MveprTLo8RVjO148IWOC0I6qdtOaCydODy/z7lwQDhFHX8YMzg==" saltValue="ShJ+WaUzMSvICsepRSesW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137</v>
      </c>
      <c r="C10" s="19">
        <f>'Fane 7. Anlægsprojekter (§ 19)'!H11</f>
        <v>0</v>
      </c>
      <c r="D10" s="12" t="s">
        <v>3</v>
      </c>
      <c r="E10" s="8">
        <f>SUM('Fane 7. Anlægsprojekter (§ 19)'!F11,'Fane 7. Anlægsprojekter (§ 19)'!J11)</f>
        <v>0</v>
      </c>
      <c r="F10" s="12" t="s">
        <v>3</v>
      </c>
      <c r="G10" s="1"/>
    </row>
    <row r="11" spans="1:7" x14ac:dyDescent="0.25">
      <c r="A11" s="1"/>
      <c r="B11" s="20" t="s">
        <v>140</v>
      </c>
      <c r="C11" s="19">
        <v>10028</v>
      </c>
      <c r="D11" s="12" t="s">
        <v>3</v>
      </c>
      <c r="E11" s="8">
        <v>3053</v>
      </c>
      <c r="F11" s="12" t="s">
        <v>3</v>
      </c>
      <c r="G11" s="1"/>
    </row>
    <row r="12" spans="1:7" x14ac:dyDescent="0.25">
      <c r="A12" s="1"/>
      <c r="B12" s="74" t="s">
        <v>67</v>
      </c>
      <c r="C12" s="10">
        <f>SUM(C10:C11)</f>
        <v>10028</v>
      </c>
      <c r="D12" s="11" t="s">
        <v>3</v>
      </c>
      <c r="E12" s="10">
        <f>SUM(E10:E11)</f>
        <v>3053</v>
      </c>
      <c r="F12" s="11" t="s">
        <v>3</v>
      </c>
      <c r="G12" s="1"/>
    </row>
    <row r="13" spans="1:7" x14ac:dyDescent="0.25">
      <c r="A13" s="1"/>
      <c r="B13" s="74" t="s">
        <v>98</v>
      </c>
      <c r="C13" s="10">
        <f>C12*(1+'Fane 11. Nøgletal'!C15)</f>
        <v>10384.996800000001</v>
      </c>
      <c r="D13" s="11" t="s">
        <v>3</v>
      </c>
      <c r="E13" s="10">
        <f>E12*(1+'Fane 11. Nøgletal'!C15)</f>
        <v>3161.6868000000004</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K8ie08K3EAK6i4u+/CTo7sq9rRUG4y+yuBffDLrQwsloU5OiXZxPao23Pn+iuWz4Kzg7+SRv5ZtnDKcJ2kDjw==" saltValue="ajHNcnqhgPU6izDwx3fJZ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154</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cUBMm1Ni24NzHWPkllZEWe+8BoryP7iifpf+q0SX3guy73QahiaHYCMrccyy/zEgH/y2uL+c4A2cyy53IaDUNg==" saltValue="0sbhglfCr9SXnc+2s/iPf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138</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AwavfHKMREevHoO4ba2zAAavvR03tJgeBxGnktBK/goCyLWVh7MnGt4Ox79gurZDtPgmUd1YGrAXvth19gZ9g==" saltValue="gfAES8NPKMukpVNGjJGIK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139</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8xdB21vigrzY4Y9FZhoq5OtdkNJSuTy9q/94ZuFMHkF1+36fR+/TlfmAvW1RQZieHvx43+XcyTFcx0YwCygy3Q==" saltValue="E2f+e+ENLwAkFVe8/96hN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0Kad7prfCcJKnkhViYlSktFxxlvTjeEZ8aoQQ6efAmfXi8aRnsN79+2N3cSMflRK8vAFz74MoamQPSJPwxHU8Q==" saltValue="OHBR74U8goVM0UVWqPHEi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9273672.262023747</v>
      </c>
      <c r="F9" s="55" t="s">
        <v>3</v>
      </c>
      <c r="G9" s="1"/>
    </row>
    <row r="10" spans="1:7" ht="17.25" customHeight="1" x14ac:dyDescent="0.25">
      <c r="A10" s="1"/>
      <c r="B10" s="24" t="s">
        <v>50</v>
      </c>
      <c r="C10" s="55"/>
      <c r="D10" s="55"/>
      <c r="E10" s="7">
        <f>'Fane 8.1. Varige tillæg'!C13+'Fane 8.1. Varige tillæg'!E13</f>
        <v>13546.6836</v>
      </c>
      <c r="F10" s="55" t="s">
        <v>3</v>
      </c>
      <c r="G10" s="1"/>
    </row>
    <row r="11" spans="1:7" ht="17.25" customHeight="1" x14ac:dyDescent="0.25">
      <c r="A11" s="1"/>
      <c r="B11" s="24" t="s">
        <v>52</v>
      </c>
      <c r="C11" s="55"/>
      <c r="D11" s="55"/>
      <c r="E11" s="8">
        <f>-('Fane 10. Bortfald'!C13+'Fane 10. Bortfald'!E13)</f>
        <v>0</v>
      </c>
      <c r="F11" s="55" t="s">
        <v>3</v>
      </c>
      <c r="G11" s="1"/>
    </row>
    <row r="12" spans="1:7" ht="17.25" customHeight="1" x14ac:dyDescent="0.25">
      <c r="A12" s="1"/>
      <c r="B12" s="24" t="s">
        <v>54</v>
      </c>
      <c r="C12" s="55"/>
      <c r="D12" s="55"/>
      <c r="E12" s="8">
        <f>'Fane 9. Tilknyttet virksomhed'!C12+'Fane 9. Tilknyttet virksomhed'!E12</f>
        <v>0</v>
      </c>
      <c r="F12" s="55" t="s">
        <v>3</v>
      </c>
      <c r="G12" s="1"/>
    </row>
    <row r="13" spans="1:7" ht="17.25" customHeight="1" x14ac:dyDescent="0.25">
      <c r="A13" s="1"/>
      <c r="B13" s="24" t="s">
        <v>17</v>
      </c>
      <c r="C13" s="55"/>
      <c r="D13" s="55"/>
      <c r="E13" s="8">
        <f>SUM(E9:E12)*'Fane 11. Nøgletal'!C15</f>
        <v>330624.99446420535</v>
      </c>
      <c r="F13" s="55" t="s">
        <v>3</v>
      </c>
      <c r="G13" s="1"/>
    </row>
    <row r="14" spans="1:7" ht="17.25" customHeight="1" x14ac:dyDescent="0.25">
      <c r="A14" s="1"/>
      <c r="B14" s="24" t="s">
        <v>44</v>
      </c>
      <c r="C14" s="55"/>
      <c r="D14" s="55"/>
      <c r="E14" s="8">
        <f>-SUM(E9,E10:E13)*'Fane 11. Nøgletal'!C20</f>
        <v>-163503.34698149518</v>
      </c>
      <c r="F14" s="55" t="s">
        <v>3</v>
      </c>
      <c r="G14" s="1"/>
    </row>
    <row r="15" spans="1:7" ht="15" customHeight="1" x14ac:dyDescent="0.25">
      <c r="A15" s="1"/>
      <c r="B15" s="68" t="s">
        <v>19</v>
      </c>
      <c r="C15" s="29"/>
      <c r="D15" s="29"/>
      <c r="E15" s="9">
        <f>SUM(E9,E10:E14)</f>
        <v>9454340.5931064561</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omk.'!C15</f>
        <v>4604513.1314788805</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106</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-929271.39889091253</v>
      </c>
      <c r="F24" s="59" t="s">
        <v>3</v>
      </c>
      <c r="G24" s="1"/>
    </row>
    <row r="25" spans="1:7" x14ac:dyDescent="0.25">
      <c r="A25" s="1"/>
      <c r="B25" s="58" t="s">
        <v>75</v>
      </c>
      <c r="C25" s="58"/>
      <c r="D25" s="58"/>
      <c r="E25" s="58"/>
      <c r="F25" s="58"/>
      <c r="G25" s="1"/>
    </row>
    <row r="26" spans="1:7" x14ac:dyDescent="0.25">
      <c r="A26" s="1"/>
      <c r="B26" s="59" t="s">
        <v>76</v>
      </c>
      <c r="C26" s="59"/>
      <c r="D26" s="59"/>
      <c r="E26" s="9">
        <f>'Fane 6. Skattesagen'!G12</f>
        <v>0</v>
      </c>
      <c r="F26" s="59" t="s">
        <v>3</v>
      </c>
      <c r="G26" s="1"/>
    </row>
    <row r="27" spans="1:7" x14ac:dyDescent="0.25">
      <c r="A27" s="1"/>
      <c r="B27" s="58" t="s">
        <v>39</v>
      </c>
      <c r="C27" s="58"/>
      <c r="D27" s="58"/>
      <c r="E27" s="10">
        <f>SUM(E15:E17:E22:E24:E26)</f>
        <v>13129582.325694423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cyIcS1N5JB2fGU3tepRQUAl1dyJ970+jofOQsem3vNhMhlGpofB9JfMqIGh1pS+jb753IMMnc1SmTpCaWIwx6g==" saltValue="me9wCTtWYI5eYY1qhewVB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9454340.5931064561</v>
      </c>
      <c r="F8" s="55" t="s">
        <v>3</v>
      </c>
      <c r="G8" s="1"/>
    </row>
    <row r="9" spans="1:7" ht="15" customHeight="1" x14ac:dyDescent="0.25">
      <c r="A9" s="1"/>
      <c r="B9" s="56" t="s">
        <v>17</v>
      </c>
      <c r="C9" s="55"/>
      <c r="D9" s="55"/>
      <c r="E9" s="8">
        <f>SUM(E8:E8)*'Fane 11. Nøgletal'!C15</f>
        <v>336574.52511458984</v>
      </c>
      <c r="F9" s="55" t="s">
        <v>3</v>
      </c>
      <c r="G9" s="1"/>
    </row>
    <row r="10" spans="1:7" ht="15" customHeight="1" x14ac:dyDescent="0.25">
      <c r="A10" s="1"/>
      <c r="B10" s="56" t="s">
        <v>44</v>
      </c>
      <c r="C10" s="55"/>
      <c r="D10" s="55"/>
      <c r="E10" s="8">
        <f>-SUM(E8:E9)*'Fane 11. Nøgletal'!C20</f>
        <v>-166445.55700975779</v>
      </c>
      <c r="F10" s="55" t="s">
        <v>3</v>
      </c>
      <c r="G10" s="1"/>
    </row>
    <row r="11" spans="1:7" ht="15" customHeight="1" x14ac:dyDescent="0.25">
      <c r="A11" s="1"/>
      <c r="B11" s="29" t="s">
        <v>19</v>
      </c>
      <c r="C11" s="29"/>
      <c r="D11" s="29"/>
      <c r="E11" s="9">
        <f>SUM(E8:E10)</f>
        <v>9624469.561211288</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omk.'!C15*(1+'Fane 11. Nøgletal'!C15)</f>
        <v>4768433.798959529</v>
      </c>
      <c r="F13" s="59" t="s">
        <v>3</v>
      </c>
      <c r="G13" s="1"/>
    </row>
    <row r="14" spans="1:7" x14ac:dyDescent="0.25">
      <c r="A14" s="1"/>
      <c r="B14" s="58" t="s">
        <v>62</v>
      </c>
      <c r="C14" s="58"/>
      <c r="D14" s="58"/>
      <c r="E14" s="58"/>
      <c r="F14" s="58"/>
      <c r="G14" s="1"/>
    </row>
    <row r="15" spans="1:7" x14ac:dyDescent="0.25">
      <c r="A15" s="1"/>
      <c r="B15" s="59" t="s">
        <v>77</v>
      </c>
      <c r="C15" s="33"/>
      <c r="D15" s="33"/>
      <c r="E15" s="9">
        <f>'Fane 5. Kontrol af ØR2021'!E30</f>
        <v>-929271.39889091253</v>
      </c>
      <c r="F15" s="59" t="s">
        <v>3</v>
      </c>
      <c r="G15" s="1"/>
    </row>
    <row r="16" spans="1:7" x14ac:dyDescent="0.25">
      <c r="A16" s="1"/>
      <c r="B16" s="58" t="s">
        <v>75</v>
      </c>
      <c r="C16" s="58"/>
      <c r="D16" s="58"/>
      <c r="E16" s="58"/>
      <c r="F16" s="58"/>
      <c r="G16" s="1"/>
    </row>
    <row r="17" spans="1:7" x14ac:dyDescent="0.25">
      <c r="A17" s="1"/>
      <c r="B17" s="59" t="s">
        <v>76</v>
      </c>
      <c r="C17" s="59"/>
      <c r="D17" s="59"/>
      <c r="E17" s="9">
        <f>'Fane 6. Skattesagen'!G13</f>
        <v>0</v>
      </c>
      <c r="F17" s="59" t="s">
        <v>3</v>
      </c>
      <c r="G17" s="1"/>
    </row>
    <row r="18" spans="1:7" x14ac:dyDescent="0.25">
      <c r="A18" s="1"/>
      <c r="B18" s="58" t="s">
        <v>57</v>
      </c>
      <c r="C18" s="58"/>
      <c r="D18" s="58"/>
      <c r="E18" s="10">
        <f>SUM(E11,E13,E15,E17)</f>
        <v>13463631.961279904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3AaFlpcYjH+okbCg2F6zH2TYg7/rbnWRfOY0fXvO4voZ+6mxlFvAiYTASp8cMTZ8vheIVv8sL4MqPAfLt+0vvA==" saltValue="aQ+FVUDmv09DIPV6Ubf+T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9624469.561211288</v>
      </c>
      <c r="F8" s="55" t="s">
        <v>3</v>
      </c>
      <c r="G8" s="1"/>
    </row>
    <row r="9" spans="1:7" ht="15" customHeight="1" x14ac:dyDescent="0.25">
      <c r="A9" s="1"/>
      <c r="B9" s="56" t="s">
        <v>17</v>
      </c>
      <c r="C9" s="55"/>
      <c r="D9" s="55"/>
      <c r="E9" s="8">
        <f>SUM(E8:E8)*'Fane 11. Nøgletal'!C15</f>
        <v>342631.11637912184</v>
      </c>
      <c r="F9" s="55" t="s">
        <v>3</v>
      </c>
      <c r="G9" s="1"/>
    </row>
    <row r="10" spans="1:7" ht="15" customHeight="1" x14ac:dyDescent="0.25">
      <c r="A10" s="1"/>
      <c r="B10" s="56" t="s">
        <v>44</v>
      </c>
      <c r="C10" s="55"/>
      <c r="D10" s="55"/>
      <c r="E10" s="8">
        <f>-SUM(E8:E9)*'Fane 11. Nøgletal'!C20</f>
        <v>-169440.71151903697</v>
      </c>
      <c r="F10" s="55" t="s">
        <v>3</v>
      </c>
      <c r="G10" s="1"/>
    </row>
    <row r="11" spans="1:7" x14ac:dyDescent="0.25">
      <c r="A11" s="1"/>
      <c r="B11" s="29" t="s">
        <v>19</v>
      </c>
      <c r="C11" s="29"/>
      <c r="D11" s="29"/>
      <c r="E11" s="9">
        <f>SUM(E8:E10)</f>
        <v>9797659.9660713729</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omk.'!C15*(1+'Fane 11. Nøgletal'!C15)^2</f>
        <v>4938190.0422024885</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Skattesagen'!G14</f>
        <v>0</v>
      </c>
      <c r="F17" s="59" t="s">
        <v>3</v>
      </c>
      <c r="G17" s="1"/>
    </row>
    <row r="18" spans="1:7" x14ac:dyDescent="0.25">
      <c r="A18" s="1"/>
      <c r="B18" s="58" t="s">
        <v>66</v>
      </c>
      <c r="C18" s="58"/>
      <c r="D18" s="58"/>
      <c r="E18" s="10">
        <f>SUM(E11,E13,E15,E17)</f>
        <v>14735850.008273862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8fazu2GeCPmc4YgOM8ePcuM3Iq1TRbCQM1Qvbf9QxJJOHfdVheIlwyiLdTueKceAtMSkHB7lqE8+qKgBcrpPZw==" saltValue="D1UyzUC1FBxn5yX5LWwFQ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86</v>
      </c>
      <c r="C8" s="55"/>
      <c r="D8" s="55"/>
      <c r="E8" s="7">
        <f>'Fane 2.3. Økonomisk ramme 2025'!E11</f>
        <v>9797659.9660713729</v>
      </c>
      <c r="F8" s="55" t="s">
        <v>3</v>
      </c>
      <c r="G8" s="1"/>
    </row>
    <row r="9" spans="1:7" ht="15" customHeight="1" x14ac:dyDescent="0.25">
      <c r="A9" s="1"/>
      <c r="B9" s="56" t="s">
        <v>17</v>
      </c>
      <c r="C9" s="55"/>
      <c r="D9" s="55"/>
      <c r="E9" s="8">
        <f>SUM(E8:E8)*'Fane 11. Nøgletal'!C15</f>
        <v>348796.69479214086</v>
      </c>
      <c r="F9" s="55" t="s">
        <v>3</v>
      </c>
      <c r="G9" s="1"/>
    </row>
    <row r="10" spans="1:7" ht="15" customHeight="1" x14ac:dyDescent="0.25">
      <c r="A10" s="1"/>
      <c r="B10" s="56" t="s">
        <v>44</v>
      </c>
      <c r="C10" s="55"/>
      <c r="D10" s="55"/>
      <c r="E10" s="8">
        <f>-SUM(E8:E9)*'Fane 11. Nøgletal'!C20</f>
        <v>-172489.76323467973</v>
      </c>
      <c r="F10" s="55" t="s">
        <v>3</v>
      </c>
      <c r="G10" s="1"/>
    </row>
    <row r="11" spans="1:7" x14ac:dyDescent="0.25">
      <c r="A11" s="1"/>
      <c r="B11" s="29" t="s">
        <v>19</v>
      </c>
      <c r="C11" s="29"/>
      <c r="D11" s="29"/>
      <c r="E11" s="9">
        <f>SUM(E8:E10)</f>
        <v>9973966.8976288326</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omk.'!C15*(1+'Fane 11. Nøgletal'!C15)^3</f>
        <v>5113989.6077048974</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Skattesagen'!G15</f>
        <v>0</v>
      </c>
      <c r="F17" s="59" t="s">
        <v>3</v>
      </c>
      <c r="G17" s="1"/>
    </row>
    <row r="18" spans="1:7" x14ac:dyDescent="0.25">
      <c r="A18" s="1"/>
      <c r="B18" s="58" t="s">
        <v>87</v>
      </c>
      <c r="C18" s="58"/>
      <c r="D18" s="58"/>
      <c r="E18" s="10">
        <f>SUM(E11,E13,E15,E17)</f>
        <v>15087956.505333729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ScF5veFfMxG8IzJKTFKc6ktVcxx0w9j2of8MYHAsfcG2Gp1rPP0BaKoqarKRBFf4DRHXynDfZ4Yv52CqO5adkg==" saltValue="wQvUESLgjjB9bW71e0TKV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89</v>
      </c>
      <c r="C8" s="58"/>
      <c r="D8" s="58"/>
      <c r="E8" s="58"/>
      <c r="F8" s="58"/>
      <c r="G8" s="1"/>
    </row>
    <row r="9" spans="1:7" x14ac:dyDescent="0.25">
      <c r="A9" s="1"/>
      <c r="B9" s="108" t="s">
        <v>22</v>
      </c>
      <c r="C9" s="108"/>
      <c r="D9" s="108"/>
      <c r="E9" s="7">
        <v>9320342.9472980462</v>
      </c>
      <c r="F9" s="55" t="s">
        <v>3</v>
      </c>
      <c r="G9" s="1"/>
    </row>
    <row r="10" spans="1:7" x14ac:dyDescent="0.25">
      <c r="A10" s="1"/>
      <c r="B10" s="109" t="s">
        <v>103</v>
      </c>
      <c r="C10" s="110"/>
      <c r="D10" s="111"/>
      <c r="E10" s="7">
        <v>0</v>
      </c>
      <c r="F10" s="55" t="s">
        <v>3</v>
      </c>
      <c r="G10" s="1"/>
    </row>
    <row r="11" spans="1:7" x14ac:dyDescent="0.25">
      <c r="A11" s="1"/>
      <c r="B11" s="94" t="s">
        <v>50</v>
      </c>
      <c r="C11" s="94"/>
      <c r="D11" s="94"/>
      <c r="E11" s="7">
        <v>0</v>
      </c>
      <c r="F11" s="55" t="s">
        <v>3</v>
      </c>
      <c r="G11" s="1"/>
    </row>
    <row r="12" spans="1:7" x14ac:dyDescent="0.25">
      <c r="A12" s="1"/>
      <c r="B12" s="94" t="s">
        <v>54</v>
      </c>
      <c r="C12" s="94"/>
      <c r="D12" s="94"/>
      <c r="E12" s="7">
        <v>0</v>
      </c>
      <c r="F12" s="55" t="s">
        <v>3</v>
      </c>
      <c r="G12" s="1"/>
    </row>
    <row r="13" spans="1:7" x14ac:dyDescent="0.25">
      <c r="A13" s="1"/>
      <c r="B13" s="94" t="s">
        <v>51</v>
      </c>
      <c r="C13" s="94"/>
      <c r="D13" s="94"/>
      <c r="E13" s="8">
        <v>0</v>
      </c>
      <c r="F13" s="55" t="s">
        <v>3</v>
      </c>
      <c r="G13" s="1"/>
    </row>
    <row r="14" spans="1:7" x14ac:dyDescent="0.25">
      <c r="A14" s="1"/>
      <c r="B14" s="94" t="s">
        <v>17</v>
      </c>
      <c r="C14" s="94"/>
      <c r="D14" s="94"/>
      <c r="E14" s="8">
        <f>E9*'Fane 11. Nøgletal'!C13+SUM(E11:E13)*'Fane 11. Nøgletal'!C14</f>
        <v>113708.18395703618</v>
      </c>
      <c r="F14" s="55" t="s">
        <v>3</v>
      </c>
      <c r="G14" s="1"/>
    </row>
    <row r="15" spans="1:7" x14ac:dyDescent="0.25">
      <c r="A15" s="1"/>
      <c r="B15" s="94" t="s">
        <v>44</v>
      </c>
      <c r="C15" s="94"/>
      <c r="D15" s="94"/>
      <c r="E15" s="8">
        <f>-SUM(E9:E14)*'Fane 11. Nøgletal'!C20</f>
        <v>-160378.86923133643</v>
      </c>
      <c r="F15" s="55" t="s">
        <v>3</v>
      </c>
      <c r="G15" s="1"/>
    </row>
    <row r="16" spans="1:7" x14ac:dyDescent="0.25">
      <c r="A16" s="1"/>
      <c r="B16" s="95" t="s">
        <v>19</v>
      </c>
      <c r="C16" s="95"/>
      <c r="D16" s="95"/>
      <c r="E16" s="34">
        <f>SUM(E9:E15)</f>
        <v>9273672.262023747</v>
      </c>
      <c r="F16" s="35" t="s">
        <v>3</v>
      </c>
      <c r="G16" s="1"/>
    </row>
    <row r="17" spans="1:7" x14ac:dyDescent="0.25">
      <c r="A17" s="1"/>
      <c r="B17" s="96" t="s">
        <v>11</v>
      </c>
      <c r="C17" s="96"/>
      <c r="D17" s="96"/>
      <c r="E17" s="58"/>
      <c r="F17" s="58"/>
      <c r="G17" s="1"/>
    </row>
    <row r="18" spans="1:7" x14ac:dyDescent="0.25">
      <c r="A18" s="1"/>
      <c r="B18" s="97" t="s">
        <v>11</v>
      </c>
      <c r="C18" s="97"/>
      <c r="D18" s="97"/>
      <c r="E18" s="9">
        <v>4066061.7514086207</v>
      </c>
      <c r="F18" s="59" t="s">
        <v>3</v>
      </c>
      <c r="G18" s="1"/>
    </row>
    <row r="19" spans="1:7" ht="15.4" customHeight="1" x14ac:dyDescent="0.25">
      <c r="A19" s="1"/>
      <c r="B19" s="58" t="s">
        <v>36</v>
      </c>
      <c r="C19" s="58"/>
      <c r="D19" s="58"/>
      <c r="E19" s="58"/>
      <c r="F19" s="58"/>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105370.07473210827</v>
      </c>
      <c r="F24" s="59" t="s">
        <v>3</v>
      </c>
      <c r="G24" s="1"/>
    </row>
    <row r="25" spans="1:7" x14ac:dyDescent="0.25">
      <c r="A25" s="1"/>
      <c r="B25" s="68" t="s">
        <v>63</v>
      </c>
      <c r="C25" s="29"/>
      <c r="D25" s="29"/>
      <c r="E25" s="9">
        <v>-844148.86732573621</v>
      </c>
      <c r="F25" s="59" t="s">
        <v>3</v>
      </c>
      <c r="G25" s="1"/>
    </row>
    <row r="26" spans="1:7" x14ac:dyDescent="0.25">
      <c r="A26" s="1"/>
      <c r="B26" s="58" t="s">
        <v>75</v>
      </c>
      <c r="C26" s="58"/>
      <c r="D26" s="58"/>
      <c r="E26" s="58"/>
      <c r="F26" s="58"/>
      <c r="G26" s="1"/>
    </row>
    <row r="27" spans="1:7" x14ac:dyDescent="0.25">
      <c r="A27" s="1"/>
      <c r="B27" s="104" t="s">
        <v>76</v>
      </c>
      <c r="C27" s="105"/>
      <c r="D27" s="106"/>
      <c r="E27" s="9">
        <f>'Fane 6. Skattesagen'!G11</f>
        <v>0</v>
      </c>
      <c r="F27" s="59" t="s">
        <v>3</v>
      </c>
      <c r="G27" s="1"/>
    </row>
    <row r="28" spans="1:7" ht="15" customHeight="1" x14ac:dyDescent="0.25">
      <c r="A28" s="1"/>
      <c r="B28" s="36" t="s">
        <v>149</v>
      </c>
      <c r="C28" s="36"/>
      <c r="D28" s="36"/>
      <c r="E28" s="37">
        <f>E16+E18+E22+E24+E25+E27</f>
        <v>12600955.22083874</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2srXlmmU/r86W8HAJzkvrmJVhACfEieKbc89o6SV7+U4FYuXkmOqDnEqEfqqehv8D1zRgwXxxNL3CJjvoAxgZQ==" saltValue="oddcbLc5g9hB5wTYSBPnH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9" t="s">
        <v>109</v>
      </c>
      <c r="D9" s="59"/>
      <c r="E9" s="1"/>
      <c r="F9" s="1"/>
    </row>
    <row r="10" spans="1:6" x14ac:dyDescent="0.25">
      <c r="A10" s="1"/>
      <c r="B10" s="23" t="s">
        <v>128</v>
      </c>
      <c r="C10" s="8">
        <v>4180540</v>
      </c>
      <c r="D10" s="12" t="s">
        <v>3</v>
      </c>
      <c r="E10" s="1"/>
      <c r="F10" s="1"/>
    </row>
    <row r="11" spans="1:6" x14ac:dyDescent="0.25">
      <c r="A11" s="1"/>
      <c r="B11" s="23" t="s">
        <v>129</v>
      </c>
      <c r="C11" s="8">
        <v>17840</v>
      </c>
      <c r="D11" s="12" t="s">
        <v>3</v>
      </c>
      <c r="E11" s="1"/>
      <c r="F11" s="1"/>
    </row>
    <row r="12" spans="1:6" x14ac:dyDescent="0.25">
      <c r="A12" s="1"/>
      <c r="B12" s="23" t="s">
        <v>130</v>
      </c>
      <c r="C12" s="8">
        <v>8977</v>
      </c>
      <c r="D12" s="12" t="s">
        <v>3</v>
      </c>
      <c r="E12" s="1"/>
      <c r="F12" s="1"/>
    </row>
    <row r="13" spans="1:6" x14ac:dyDescent="0.25">
      <c r="A13" s="1"/>
      <c r="B13" s="23" t="s">
        <v>131</v>
      </c>
      <c r="C13" s="8">
        <v>86026</v>
      </c>
      <c r="D13" s="12" t="s">
        <v>3</v>
      </c>
      <c r="E13" s="1"/>
      <c r="F13" s="1"/>
    </row>
    <row r="14" spans="1:6" x14ac:dyDescent="0.25">
      <c r="A14" s="1"/>
      <c r="B14" s="74" t="s">
        <v>92</v>
      </c>
      <c r="C14" s="10">
        <f>SUM(C10:C13)</f>
        <v>4293383</v>
      </c>
      <c r="D14" s="11" t="s">
        <v>3</v>
      </c>
      <c r="E14" s="1"/>
      <c r="F14" s="1"/>
    </row>
    <row r="15" spans="1:6" x14ac:dyDescent="0.25">
      <c r="A15" s="1"/>
      <c r="B15" s="74" t="s">
        <v>93</v>
      </c>
      <c r="C15" s="10">
        <f>C14*(1+'Fane 11. Nøgletal'!C15)^2</f>
        <v>4604513.1314788805</v>
      </c>
      <c r="D15" s="11" t="s">
        <v>3</v>
      </c>
      <c r="E15" s="1"/>
      <c r="F15" s="1"/>
    </row>
    <row r="16" spans="1:6" x14ac:dyDescent="0.25">
      <c r="A16" s="1"/>
      <c r="B16" s="14"/>
      <c r="C16" s="13"/>
      <c r="D16" s="13"/>
      <c r="E16" s="1"/>
      <c r="F16" s="1"/>
    </row>
    <row r="17" spans="1:6" x14ac:dyDescent="0.25">
      <c r="A17" s="1"/>
      <c r="B17" s="14"/>
      <c r="C17" s="13"/>
      <c r="D17" s="13"/>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vLFtaeQBWlpMbsHADlx7bTNr5Wl55YJkmJoUssT0rMtceEvoK3N+xouoHoBJyr/W/CGBJneXtW7krIGU+vI6TQ==" saltValue="AwL5QYRicfO5YwXVhUk4L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153</v>
      </c>
      <c r="C3" s="107"/>
      <c r="D3" s="107"/>
      <c r="E3" s="107"/>
      <c r="F3" s="107"/>
      <c r="G3" s="1"/>
    </row>
    <row r="4" spans="1:7" ht="15" customHeight="1" x14ac:dyDescent="0.25">
      <c r="A4" s="1"/>
      <c r="B4" s="107"/>
      <c r="C4" s="107"/>
      <c r="D4" s="107"/>
      <c r="E4" s="107"/>
      <c r="F4" s="107"/>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-888654.74251648411</v>
      </c>
      <c r="F9" s="12" t="s">
        <v>3</v>
      </c>
      <c r="G9" s="1"/>
    </row>
    <row r="10" spans="1:7" x14ac:dyDescent="0.25">
      <c r="A10" s="1"/>
      <c r="B10" s="119" t="s">
        <v>132</v>
      </c>
      <c r="C10" s="120"/>
      <c r="D10" s="121"/>
      <c r="E10" s="8">
        <v>-888654.74251648411</v>
      </c>
      <c r="F10" s="12" t="s">
        <v>3</v>
      </c>
      <c r="G10" s="1"/>
    </row>
    <row r="11" spans="1:7" x14ac:dyDescent="0.25">
      <c r="A11" s="1"/>
      <c r="B11" s="74"/>
      <c r="C11" s="22"/>
      <c r="D11" s="22"/>
      <c r="E11" s="22"/>
      <c r="F11" s="75"/>
      <c r="G11" s="1"/>
    </row>
    <row r="12" spans="1:7" ht="68.25" customHeight="1" x14ac:dyDescent="0.25">
      <c r="A12" s="1"/>
      <c r="B12" s="125" t="s">
        <v>150</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f>-222163.685629121*2</f>
        <v>-444327.371258242</v>
      </c>
      <c r="F15" s="12" t="s">
        <v>3</v>
      </c>
      <c r="G15" s="1"/>
    </row>
    <row r="16" spans="1:7" x14ac:dyDescent="0.25">
      <c r="A16" s="1"/>
      <c r="B16" s="119" t="s">
        <v>133</v>
      </c>
      <c r="C16" s="120"/>
      <c r="D16" s="121"/>
      <c r="E16" s="8">
        <f>-222163.685629121*2</f>
        <v>-444327.371258242</v>
      </c>
      <c r="F16" s="12" t="s">
        <v>3</v>
      </c>
      <c r="G16" s="1"/>
    </row>
    <row r="17" spans="1:7" x14ac:dyDescent="0.25">
      <c r="A17" s="1"/>
      <c r="B17" s="74"/>
      <c r="C17" s="22"/>
      <c r="D17" s="22"/>
      <c r="E17" s="22"/>
      <c r="F17" s="75"/>
      <c r="G17" s="1"/>
    </row>
    <row r="18" spans="1:7" ht="31.5" customHeight="1" x14ac:dyDescent="0.25">
      <c r="A18" s="1"/>
      <c r="B18" s="125" t="s">
        <v>151</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12762579.944734659</v>
      </c>
      <c r="F21" s="12" t="s">
        <v>3</v>
      </c>
      <c r="G21" s="1"/>
    </row>
    <row r="22" spans="1:7" x14ac:dyDescent="0.25">
      <c r="A22" s="1"/>
      <c r="B22" s="69" t="s">
        <v>134</v>
      </c>
      <c r="C22" s="70"/>
      <c r="D22" s="71"/>
      <c r="E22" s="8">
        <v>13732468</v>
      </c>
      <c r="F22" s="12" t="s">
        <v>3</v>
      </c>
      <c r="G22" s="1"/>
    </row>
    <row r="23" spans="1:7" x14ac:dyDescent="0.25">
      <c r="A23" s="1"/>
      <c r="B23" s="69" t="s">
        <v>26</v>
      </c>
      <c r="C23" s="70"/>
      <c r="D23" s="71"/>
      <c r="E23" s="8">
        <v>0</v>
      </c>
      <c r="F23" s="12" t="s">
        <v>3</v>
      </c>
      <c r="G23" s="1"/>
    </row>
    <row r="24" spans="1:7" x14ac:dyDescent="0.25">
      <c r="A24" s="1"/>
      <c r="B24" s="60" t="s">
        <v>152</v>
      </c>
      <c r="C24" s="61"/>
      <c r="D24" s="62"/>
      <c r="E24" s="52">
        <f>E21-(E22-E23)</f>
        <v>-969888.05526534095</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135</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-1858542.7977818251</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-929271.39889091253</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liI8IYPth+3dwRDfjYA40vfl09UUrLFengC4/HqGDACL0e8WMqSnzyeXNawtpImbbXCqsYpqymUgxHnjaGojQ==" saltValue="rWtXpUTMnkbSOviKKUBVR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127</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4" t="s">
        <v>125</v>
      </c>
      <c r="C9" s="105"/>
      <c r="D9" s="105"/>
      <c r="E9" s="105"/>
      <c r="F9" s="105"/>
      <c r="G9" s="105"/>
      <c r="H9" s="106"/>
      <c r="I9" s="1"/>
    </row>
    <row r="10" spans="1:9" x14ac:dyDescent="0.25">
      <c r="A10" s="1"/>
      <c r="B10" s="109" t="s">
        <v>141</v>
      </c>
      <c r="C10" s="110"/>
      <c r="D10" s="110"/>
      <c r="E10" s="110"/>
      <c r="F10" s="111"/>
      <c r="G10" s="53">
        <v>0</v>
      </c>
      <c r="H10" s="8" t="s">
        <v>3</v>
      </c>
      <c r="I10" s="1"/>
    </row>
    <row r="11" spans="1:9" x14ac:dyDescent="0.25">
      <c r="A11" s="1"/>
      <c r="B11" s="109" t="s">
        <v>142</v>
      </c>
      <c r="C11" s="110"/>
      <c r="D11" s="110"/>
      <c r="E11" s="110"/>
      <c r="F11" s="111"/>
      <c r="G11" s="53">
        <v>0</v>
      </c>
      <c r="H11" s="8" t="s">
        <v>3</v>
      </c>
      <c r="I11" s="1"/>
    </row>
    <row r="12" spans="1:9" x14ac:dyDescent="0.25">
      <c r="A12" s="1"/>
      <c r="B12" s="109" t="s">
        <v>143</v>
      </c>
      <c r="C12" s="110"/>
      <c r="D12" s="110"/>
      <c r="E12" s="110"/>
      <c r="F12" s="111"/>
      <c r="G12" s="8">
        <v>0</v>
      </c>
      <c r="H12" s="8" t="s">
        <v>3</v>
      </c>
      <c r="I12" s="1"/>
    </row>
    <row r="13" spans="1:9" x14ac:dyDescent="0.25">
      <c r="A13" s="1"/>
      <c r="B13" s="109" t="s">
        <v>144</v>
      </c>
      <c r="C13" s="110"/>
      <c r="D13" s="110"/>
      <c r="E13" s="110"/>
      <c r="F13" s="111"/>
      <c r="G13" s="8">
        <v>0</v>
      </c>
      <c r="H13" s="8" t="s">
        <v>3</v>
      </c>
      <c r="I13" s="1"/>
    </row>
    <row r="14" spans="1:9" x14ac:dyDescent="0.25">
      <c r="A14" s="1"/>
      <c r="B14" s="109" t="s">
        <v>145</v>
      </c>
      <c r="C14" s="110"/>
      <c r="D14" s="110"/>
      <c r="E14" s="110"/>
      <c r="F14" s="111"/>
      <c r="G14" s="8">
        <v>0</v>
      </c>
      <c r="H14" s="8" t="s">
        <v>3</v>
      </c>
      <c r="I14" s="1"/>
    </row>
    <row r="15" spans="1:9" x14ac:dyDescent="0.25">
      <c r="A15" s="1"/>
      <c r="B15" s="109" t="s">
        <v>146</v>
      </c>
      <c r="C15" s="110"/>
      <c r="D15" s="110"/>
      <c r="E15" s="110"/>
      <c r="F15" s="111"/>
      <c r="G15" s="8">
        <v>0</v>
      </c>
      <c r="H15" s="8" t="s">
        <v>3</v>
      </c>
      <c r="I15" s="1"/>
    </row>
    <row r="16" spans="1:9" x14ac:dyDescent="0.25">
      <c r="A16" s="1"/>
      <c r="B16" s="109" t="s">
        <v>147</v>
      </c>
      <c r="C16" s="110"/>
      <c r="D16" s="110"/>
      <c r="E16" s="110"/>
      <c r="F16" s="111"/>
      <c r="G16" s="8">
        <v>0</v>
      </c>
      <c r="H16" s="8" t="s">
        <v>3</v>
      </c>
      <c r="I16" s="1"/>
    </row>
    <row r="17" spans="1:9" x14ac:dyDescent="0.25">
      <c r="A17" s="1"/>
      <c r="B17" s="109" t="s">
        <v>148</v>
      </c>
      <c r="C17" s="110"/>
      <c r="D17" s="110"/>
      <c r="E17" s="110"/>
      <c r="F17" s="111"/>
      <c r="G17" s="8">
        <v>0</v>
      </c>
      <c r="H17" s="8" t="s">
        <v>3</v>
      </c>
      <c r="I17" s="1"/>
    </row>
    <row r="18" spans="1:9" x14ac:dyDescent="0.25">
      <c r="A18" s="1"/>
      <c r="B18" s="112" t="s">
        <v>126</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dC0COU2yhttM3A0P53CiQzT4eXnkDw1QXz6qwQYOAP8BKV/uEPo57q1zAUJCdnIUuK4/+r0dcCLuiOcPnqylKg==" saltValue="lrni9V/L7f/CrNDmhosuW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2022-08-18T07:40:04Z</dcterms:modified>
</cp:coreProperties>
</file>