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Faxe Spildevand AS (S018)\ØR2022\"/>
    </mc:Choice>
  </mc:AlternateContent>
  <bookViews>
    <workbookView xWindow="3105" yWindow="998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3" i="19"/>
  <c r="E28" i="20" l="1"/>
  <c r="E22" i="20"/>
  <c r="E16" i="20"/>
  <c r="E10" i="20"/>
  <c r="E10" i="11" l="1"/>
  <c r="G8" i="30" l="1"/>
  <c r="G12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C17" i="21"/>
  <c r="C18" i="21" s="1"/>
  <c r="E30" i="21" l="1"/>
  <c r="C30" i="21"/>
  <c r="E24" i="21"/>
  <c r="C24" i="21"/>
  <c r="C11" i="15"/>
  <c r="C10" i="15"/>
  <c r="E36" i="39"/>
  <c r="C36" i="39"/>
  <c r="C37" i="39" s="1"/>
  <c r="E28" i="39"/>
  <c r="C28" i="39"/>
  <c r="C29" i="39" s="1"/>
  <c r="E20" i="39"/>
  <c r="C20" i="39"/>
  <c r="E12" i="39"/>
  <c r="C12" i="39"/>
  <c r="C11" i="23" l="1"/>
  <c r="C10" i="23"/>
  <c r="C11" i="22"/>
  <c r="C10" i="22"/>
  <c r="E38" i="39"/>
  <c r="E37" i="39"/>
  <c r="E29" i="39"/>
  <c r="E30" i="39"/>
  <c r="E22" i="39"/>
  <c r="E21" i="39"/>
  <c r="C21" i="39"/>
  <c r="C22" i="39"/>
  <c r="E14" i="39"/>
  <c r="E13" i="39"/>
  <c r="C14" i="39"/>
  <c r="C13" i="39"/>
  <c r="C38" i="39"/>
  <c r="C39" i="39" s="1"/>
  <c r="C30" i="39"/>
  <c r="C31" i="39" s="1"/>
  <c r="E39" i="39" l="1"/>
  <c r="E23" i="39"/>
  <c r="C23" i="15" s="1"/>
  <c r="E31" i="39"/>
  <c r="C23" i="22" s="1"/>
  <c r="C15" i="39"/>
  <c r="C26" i="2" s="1"/>
  <c r="E15" i="39"/>
  <c r="C27" i="2" s="1"/>
  <c r="C23" i="39"/>
  <c r="C22" i="15" s="1"/>
  <c r="C22" i="22"/>
  <c r="C22" i="23"/>
  <c r="C23" i="23"/>
  <c r="C24" i="23" l="1"/>
  <c r="C24" i="22"/>
  <c r="C24" i="15"/>
  <c r="C28" i="2"/>
  <c r="G6" i="36" l="1"/>
  <c r="G10" i="36" l="1"/>
  <c r="G13" i="36" l="1"/>
  <c r="G17" i="36" l="1"/>
  <c r="G19" i="36" s="1"/>
  <c r="G16" i="30"/>
  <c r="G20" i="30" s="1"/>
  <c r="G23" i="36" l="1"/>
  <c r="G25" i="36" s="1"/>
  <c r="G22" i="30"/>
  <c r="G29" i="36" l="1"/>
  <c r="G26" i="30"/>
  <c r="G31" i="36" l="1"/>
  <c r="F11" i="11"/>
  <c r="C10" i="37" s="1"/>
  <c r="C15" i="37" s="1"/>
  <c r="C16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4" i="19"/>
  <c r="C18" i="23" l="1"/>
  <c r="C18" i="22"/>
  <c r="C18" i="15"/>
  <c r="C15" i="2"/>
  <c r="C14" i="2"/>
  <c r="C22" i="2"/>
  <c r="C12" i="2"/>
  <c r="G39" i="30" s="1"/>
  <c r="G45" i="30" s="1"/>
  <c r="C13" i="2"/>
  <c r="G28" i="30" l="1"/>
  <c r="G32" i="30" l="1"/>
  <c r="E11" i="11"/>
  <c r="E10" i="37" s="1"/>
  <c r="E15" i="37" s="1"/>
  <c r="E16" i="37" s="1"/>
  <c r="C11" i="2" l="1"/>
  <c r="G36" i="36" s="1"/>
  <c r="G34" i="30"/>
  <c r="E18" i="27" s="1"/>
  <c r="G42" i="36" l="1"/>
  <c r="G37" i="36"/>
  <c r="G41" i="36" s="1"/>
  <c r="G38" i="30"/>
  <c r="E20" i="27"/>
  <c r="E33" i="27" s="1"/>
  <c r="C9" i="2" l="1"/>
  <c r="C16" i="2" s="1"/>
  <c r="G40" i="30"/>
  <c r="G44" i="30" s="1"/>
  <c r="G47" i="30" s="1"/>
  <c r="G53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5" i="30"/>
  <c r="C12" i="22" l="1"/>
  <c r="C13" i="22" s="1"/>
  <c r="C14" i="22"/>
  <c r="G59" i="30"/>
  <c r="G61" i="30" s="1"/>
  <c r="C14" i="23" s="1"/>
  <c r="C16" i="22" l="1"/>
  <c r="C9" i="23" l="1"/>
  <c r="C12" i="23" s="1"/>
  <c r="C27" i="22"/>
  <c r="C13" i="23" l="1"/>
  <c r="C16" i="23" s="1"/>
  <c r="C27" i="23" s="1"/>
</calcChain>
</file>

<file path=xl/sharedStrings.xml><?xml version="1.0" encoding="utf-8"?>
<sst xmlns="http://schemas.openxmlformats.org/spreadsheetml/2006/main" count="717" uniqueCount="288">
  <si>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</si>
  <si>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</si>
  <si>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</si>
  <si>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</si>
  <si>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</si>
  <si>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</si>
  <si>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</si>
  <si>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</si>
  <si>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</si>
  <si>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</si>
  <si>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</si>
  <si>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</si>
  <si>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</si>
  <si>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</si>
  <si>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</si>
  <si>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</si>
  <si>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</si>
  <si>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</si>
  <si>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</si>
  <si>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</si>
  <si>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</si>
  <si>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</si>
  <si>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</si>
  <si>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</si>
  <si>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</si>
  <si>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</si>
  <si>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</si>
  <si>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</si>
  <si>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</si>
  <si>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</si>
  <si>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</si>
  <si>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</si>
  <si>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</si>
  <si>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</si>
  <si>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</si>
  <si>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</si>
  <si>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</si>
  <si>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</si>
  <si>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</si>
  <si>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</si>
  <si>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</si>
  <si>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</si>
  <si>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</si>
  <si>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</si>
  <si>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</si>
  <si>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</si>
  <si>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</si>
  <si>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</si>
  <si>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</si>
  <si>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</si>
  <si>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</si>
  <si>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</si>
  <si>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</si>
  <si>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</si>
  <si>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</si>
  <si>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</si>
  <si>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</si>
  <si>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</si>
  <si>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</si>
  <si>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</si>
  <si>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</si>
  <si>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</si>
  <si>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</si>
  <si>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</si>
  <si>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</si>
  <si>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</si>
  <si>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</si>
  <si>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</si>
  <si>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</si>
  <si>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</si>
  <si>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</si>
  <si>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</si>
  <si>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</si>
  <si>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</si>
  <si>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</si>
  <si>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</si>
  <si>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</si>
  <si>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</si>
  <si>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</si>
  <si>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</si>
  <si>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</si>
  <si>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</si>
  <si>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</si>
  <si>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</si>
  <si>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</si>
  <si>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</si>
  <si>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</si>
  <si>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</si>
  <si>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</si>
  <si>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</si>
  <si>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</si>
  <si>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</si>
  <si>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</si>
  <si>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</si>
  <si>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</si>
  <si>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</si>
  <si>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</si>
  <si>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</si>
  <si>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</si>
  <si>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</si>
  <si>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</si>
  <si>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</si>
  <si>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</si>
  <si>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</si>
  <si>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</si>
  <si>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</si>
  <si>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</si>
  <si>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</si>
  <si>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</si>
  <si>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</si>
  <si>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</si>
  <si>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</si>
  <si>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</si>
  <si>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</si>
  <si>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</si>
  <si>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</si>
  <si>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</si>
  <si>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</si>
  <si>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</si>
  <si>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</si>
  <si>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</si>
  <si>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</si>
  <si>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</si>
  <si>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</si>
  <si>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</si>
  <si>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</si>
  <si>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</si>
  <si>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</si>
  <si>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</si>
  <si>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</si>
  <si>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</si>
  <si>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</si>
  <si>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</si>
  <si>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</si>
  <si>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</si>
  <si>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</si>
  <si>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</si>
  <si>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</si>
  <si>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</si>
  <si>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</si>
  <si>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</si>
  <si>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</si>
  <si>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</si>
  <si>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</si>
  <si>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</si>
  <si>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</si>
  <si>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</si>
  <si>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</si>
  <si>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</si>
  <si>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</si>
  <si>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</si>
  <si>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</si>
  <si>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</si>
  <si>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</si>
  <si>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</si>
  <si>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</si>
  <si>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</si>
  <si>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</si>
  <si>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</si>
  <si>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</si>
  <si>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</si>
  <si>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</si>
  <si>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</si>
  <si>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</si>
  <si>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</si>
  <si>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</si>
  <si>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</si>
  <si>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</si>
  <si>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</si>
  <si>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</si>
  <si>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</si>
  <si>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</si>
  <si>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</si>
  <si>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</si>
  <si>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</si>
  <si>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</si>
  <si>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</si>
  <si>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</si>
  <si>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</si>
  <si>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</si>
  <si>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</si>
  <si>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</si>
  <si>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</si>
  <si>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</si>
  <si>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</si>
  <si>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</si>
  <si>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</si>
  <si>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</si>
  <si>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</si>
  <si>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</si>
  <si>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</si>
  <si>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</si>
  <si>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</si>
  <si>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</si>
  <si>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</si>
  <si>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</si>
  <si>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</si>
  <si>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</si>
  <si>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</si>
  <si>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</si>
  <si>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</si>
  <si>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</si>
  <si>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</si>
  <si>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</si>
  <si>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</si>
  <si>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</si>
  <si>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</si>
  <si>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</si>
  <si>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</si>
  <si>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</si>
  <si>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</si>
  <si>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</si>
  <si>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</si>
  <si>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</si>
  <si>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</si>
  <si>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</si>
  <si>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</si>
  <si>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</si>
  <si>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</si>
  <si>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</si>
  <si>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</si>
  <si>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</si>
  <si>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</si>
  <si>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</si>
  <si>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</si>
  <si>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</si>
  <si>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</si>
  <si>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</si>
  <si>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</si>
  <si>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</si>
  <si>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</si>
  <si>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</si>
  <si>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</si>
  <si>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</si>
  <si>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</si>
  <si>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</si>
  <si>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</si>
  <si>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</si>
  <si>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</si>
  <si>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</si>
  <si>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</si>
  <si>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</si>
  <si>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</si>
  <si>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</si>
  <si>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</si>
  <si>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</si>
  <si>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</si>
  <si>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</si>
  <si>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</si>
  <si>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</si>
  <si>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</si>
  <si>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</si>
  <si>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</si>
  <si>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</si>
  <si>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</si>
  <si>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</si>
  <si>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</si>
  <si>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</si>
  <si>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</si>
  <si>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</si>
  <si>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</si>
  <si>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</si>
  <si>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Afgift til Forsyningssekretariatet</t>
  </si>
  <si>
    <t>Køb af produkter og ydelser fra andre vandselskaber reguleret af vandsektorloven</t>
  </si>
  <si>
    <t>Ejendomsskat</t>
  </si>
  <si>
    <t>Ingen bortfald eller nedsættelse</t>
  </si>
  <si>
    <t>Separatkloakering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</si>
  <si>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</si>
  <si>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</si>
  <si>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</si>
  <si>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</si>
  <si>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</si>
  <si>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</si>
  <si>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</si>
  <si>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</si>
  <si>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</si>
  <si>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</si>
  <si>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</si>
  <si>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</si>
  <si>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Nye tilslutninger</t>
  </si>
  <si>
    <t>Oprensning - 2019</t>
  </si>
  <si>
    <t>Oprensning - 2020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</si>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</sst>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8" borderId="1" xfId="1" applyNumberFormat="1" applyFont="1" applyFill="1" applyBorder="1" applyProtection="1"/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6640625" style="2" customWidth="1"/>
    <col min="6" max="6" width="11.531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81" t="s">
        <v>4</v>
      </c>
      <c r="E6" s="81"/>
      <c r="F6" s="81"/>
      <c r="G6" s="81"/>
      <c r="H6" s="3"/>
      <c r="I6" s="1"/>
    </row>
    <row r="7" spans="1:9" ht="15" customHeight="1" x14ac:dyDescent="0.45">
      <c r="A7" s="1"/>
      <c r="B7" s="1"/>
      <c r="C7" s="3"/>
      <c r="D7" s="81"/>
      <c r="E7" s="81"/>
      <c r="F7" s="81"/>
      <c r="G7" s="81"/>
      <c r="H7" s="3"/>
      <c r="I7" s="1"/>
    </row>
    <row r="8" spans="1:9" ht="15.75" x14ac:dyDescent="0.5">
      <c r="A8" s="1"/>
      <c r="B8" s="1"/>
      <c r="C8" s="4"/>
      <c r="D8" s="86" t="s">
        <v>286</v>
      </c>
      <c r="E8" s="86"/>
      <c r="F8" s="86"/>
      <c r="G8" s="86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85" t="s">
        <v>5</v>
      </c>
      <c r="E11" s="85"/>
      <c r="F11" s="85"/>
      <c r="G11" s="85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78" t="s">
        <v>245</v>
      </c>
      <c r="E13" s="79"/>
      <c r="F13" s="79"/>
      <c r="G13" s="80"/>
      <c r="H13" s="1"/>
      <c r="I13" s="1"/>
    </row>
    <row r="14" spans="1:9" x14ac:dyDescent="0.45">
      <c r="A14" s="1"/>
      <c r="B14" s="1"/>
      <c r="C14" s="6" t="s">
        <v>17</v>
      </c>
      <c r="D14" s="78" t="s">
        <v>246</v>
      </c>
      <c r="E14" s="79"/>
      <c r="F14" s="79"/>
      <c r="G14" s="80"/>
      <c r="H14" s="1"/>
      <c r="I14" s="1"/>
    </row>
    <row r="15" spans="1:9" x14ac:dyDescent="0.45">
      <c r="A15" s="1"/>
      <c r="B15" s="1"/>
      <c r="C15" s="6" t="s">
        <v>37</v>
      </c>
      <c r="D15" s="78" t="s">
        <v>160</v>
      </c>
      <c r="E15" s="79"/>
      <c r="F15" s="79"/>
      <c r="G15" s="80"/>
      <c r="H15" s="1"/>
      <c r="I15" s="1"/>
    </row>
    <row r="16" spans="1:9" x14ac:dyDescent="0.45">
      <c r="A16" s="1"/>
      <c r="B16" s="1"/>
      <c r="C16" s="6" t="s">
        <v>38</v>
      </c>
      <c r="D16" s="78" t="s">
        <v>247</v>
      </c>
      <c r="E16" s="79"/>
      <c r="F16" s="79"/>
      <c r="G16" s="80"/>
      <c r="H16" s="1"/>
      <c r="I16" s="1"/>
    </row>
    <row r="17" spans="1:9" x14ac:dyDescent="0.45">
      <c r="A17" s="1"/>
      <c r="B17" s="1"/>
      <c r="C17" s="6" t="s">
        <v>144</v>
      </c>
      <c r="D17" s="78" t="s">
        <v>248</v>
      </c>
      <c r="E17" s="79"/>
      <c r="F17" s="79"/>
      <c r="G17" s="80"/>
      <c r="H17" s="1"/>
      <c r="I17" s="1"/>
    </row>
    <row r="18" spans="1:9" x14ac:dyDescent="0.45">
      <c r="A18" s="1"/>
      <c r="B18" s="1"/>
      <c r="C18" s="6" t="s">
        <v>124</v>
      </c>
      <c r="D18" s="75" t="s">
        <v>110</v>
      </c>
      <c r="E18" s="76"/>
      <c r="F18" s="76"/>
      <c r="G18" s="77"/>
      <c r="H18" s="1"/>
      <c r="I18" s="1"/>
    </row>
    <row r="19" spans="1:9" x14ac:dyDescent="0.45">
      <c r="A19" s="1"/>
      <c r="B19" s="1"/>
      <c r="C19" s="6" t="s">
        <v>125</v>
      </c>
      <c r="D19" s="75" t="s">
        <v>111</v>
      </c>
      <c r="E19" s="76"/>
      <c r="F19" s="76"/>
      <c r="G19" s="77"/>
      <c r="H19" s="1"/>
      <c r="I19" s="1"/>
    </row>
    <row r="20" spans="1:9" x14ac:dyDescent="0.45">
      <c r="A20" s="1"/>
      <c r="B20" s="1"/>
      <c r="C20" s="6" t="s">
        <v>7</v>
      </c>
      <c r="D20" s="75" t="s">
        <v>10</v>
      </c>
      <c r="E20" s="76"/>
      <c r="F20" s="76"/>
      <c r="G20" s="77"/>
      <c r="H20" s="1"/>
      <c r="I20" s="1"/>
    </row>
    <row r="21" spans="1:9" x14ac:dyDescent="0.45">
      <c r="A21" s="1"/>
      <c r="B21" s="1"/>
      <c r="C21" s="6" t="s">
        <v>126</v>
      </c>
      <c r="D21" s="82" t="s">
        <v>13</v>
      </c>
      <c r="E21" s="83"/>
      <c r="F21" s="83"/>
      <c r="G21" s="84"/>
      <c r="H21" s="1"/>
      <c r="I21" s="1"/>
    </row>
    <row r="22" spans="1:9" x14ac:dyDescent="0.45">
      <c r="A22" s="1"/>
      <c r="B22" s="1"/>
      <c r="C22" s="6" t="s">
        <v>91</v>
      </c>
      <c r="D22" s="69" t="s">
        <v>249</v>
      </c>
      <c r="E22" s="70"/>
      <c r="F22" s="70"/>
      <c r="G22" s="71"/>
      <c r="H22" s="1"/>
      <c r="I22" s="1"/>
    </row>
    <row r="23" spans="1:9" x14ac:dyDescent="0.45">
      <c r="A23" s="1"/>
      <c r="B23" s="1"/>
      <c r="C23" s="6" t="s">
        <v>8</v>
      </c>
      <c r="D23" s="69" t="s">
        <v>195</v>
      </c>
      <c r="E23" s="70"/>
      <c r="F23" s="70"/>
      <c r="G23" s="71"/>
      <c r="H23" s="1"/>
      <c r="I23" s="1"/>
    </row>
    <row r="24" spans="1:9" x14ac:dyDescent="0.45">
      <c r="A24" s="1"/>
      <c r="B24" s="1"/>
      <c r="C24" s="6" t="s">
        <v>9</v>
      </c>
      <c r="D24" s="69" t="s">
        <v>39</v>
      </c>
      <c r="E24" s="70"/>
      <c r="F24" s="70"/>
      <c r="G24" s="71"/>
      <c r="H24" s="1"/>
      <c r="I24" s="1"/>
    </row>
    <row r="25" spans="1:9" x14ac:dyDescent="0.45">
      <c r="A25" s="1"/>
      <c r="B25" s="1"/>
      <c r="C25" s="6" t="s">
        <v>127</v>
      </c>
      <c r="D25" s="69" t="s">
        <v>92</v>
      </c>
      <c r="E25" s="70"/>
      <c r="F25" s="70"/>
      <c r="G25" s="71"/>
      <c r="H25" s="1"/>
      <c r="I25" s="1"/>
    </row>
    <row r="26" spans="1:9" x14ac:dyDescent="0.45">
      <c r="A26" s="1"/>
      <c r="B26" s="1"/>
      <c r="C26" s="6" t="s">
        <v>128</v>
      </c>
      <c r="D26" s="69" t="s">
        <v>93</v>
      </c>
      <c r="E26" s="70"/>
      <c r="F26" s="70"/>
      <c r="G26" s="71"/>
      <c r="H26" s="1"/>
      <c r="I26" s="1"/>
    </row>
    <row r="27" spans="1:9" x14ac:dyDescent="0.45">
      <c r="A27" s="1"/>
      <c r="B27" s="1"/>
      <c r="C27" s="6" t="s">
        <v>129</v>
      </c>
      <c r="D27" s="69" t="s">
        <v>94</v>
      </c>
      <c r="E27" s="70"/>
      <c r="F27" s="70"/>
      <c r="G27" s="71"/>
      <c r="H27" s="1"/>
      <c r="I27" s="1"/>
    </row>
    <row r="28" spans="1:9" x14ac:dyDescent="0.45">
      <c r="A28" s="1"/>
      <c r="B28" s="1"/>
      <c r="C28" s="6" t="s">
        <v>16</v>
      </c>
      <c r="D28" s="69" t="s">
        <v>161</v>
      </c>
      <c r="E28" s="70"/>
      <c r="F28" s="70"/>
      <c r="G28" s="71"/>
      <c r="H28" s="1"/>
      <c r="I28" s="1"/>
    </row>
    <row r="29" spans="1:9" x14ac:dyDescent="0.45">
      <c r="A29" s="1"/>
      <c r="B29" s="1"/>
      <c r="C29" s="6" t="s">
        <v>41</v>
      </c>
      <c r="D29" s="69" t="s">
        <v>40</v>
      </c>
      <c r="E29" s="70"/>
      <c r="F29" s="70"/>
      <c r="G29" s="71"/>
      <c r="H29" s="1"/>
      <c r="I29" s="1"/>
    </row>
    <row r="30" spans="1:9" x14ac:dyDescent="0.45">
      <c r="A30" s="1"/>
      <c r="B30" s="1"/>
      <c r="C30" s="6" t="s">
        <v>42</v>
      </c>
      <c r="D30" s="72" t="s">
        <v>123</v>
      </c>
      <c r="E30" s="73"/>
      <c r="F30" s="73"/>
      <c r="G30" s="74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jBc4TgeCaAKnEtyFocCU3rkaEMe79q4XPzDF1EF+cpxF3ldI5fdo+NzWWMw9uCVc6LT9/uC+XGEK8WlIakoGyg==" saltValue="QRRWxIG4Q15sx5T5fkm9Qg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8" style="2" customWidth="1"/>
    <col min="3" max="3" width="24.86328125" style="2" customWidth="1"/>
    <col min="4" max="4" width="3.332031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87" t="s">
        <v>132</v>
      </c>
      <c r="C3" s="87"/>
      <c r="D3" s="87"/>
      <c r="E3" s="1"/>
      <c r="F3" s="1"/>
    </row>
    <row r="4" spans="1:6" ht="15" customHeight="1" x14ac:dyDescent="0.45">
      <c r="A4" s="1"/>
      <c r="B4" s="87"/>
      <c r="C4" s="87"/>
      <c r="D4" s="87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9" t="s">
        <v>208</v>
      </c>
      <c r="C8" s="100"/>
      <c r="D8" s="101"/>
      <c r="E8" s="1"/>
      <c r="F8" s="1"/>
    </row>
    <row r="9" spans="1:6" ht="15" customHeight="1" x14ac:dyDescent="0.45">
      <c r="A9" s="1"/>
      <c r="B9" s="31" t="s">
        <v>35</v>
      </c>
      <c r="C9" s="11" t="s">
        <v>244</v>
      </c>
      <c r="D9" s="11"/>
      <c r="E9" s="1"/>
      <c r="F9" s="1"/>
    </row>
    <row r="10" spans="1:6" x14ac:dyDescent="0.45">
      <c r="A10" s="1"/>
      <c r="B10" s="64" t="s">
        <v>262</v>
      </c>
      <c r="C10" s="9">
        <v>65277</v>
      </c>
      <c r="D10" s="14" t="s">
        <v>3</v>
      </c>
      <c r="E10" s="1"/>
      <c r="F10" s="1"/>
    </row>
    <row r="11" spans="1:6" x14ac:dyDescent="0.45">
      <c r="A11" s="1"/>
      <c r="B11" s="64" t="s">
        <v>263</v>
      </c>
      <c r="C11" s="9">
        <v>17762119</v>
      </c>
      <c r="D11" s="14" t="s">
        <v>3</v>
      </c>
      <c r="E11" s="1"/>
      <c r="F11" s="1"/>
    </row>
    <row r="12" spans="1:6" x14ac:dyDescent="0.45">
      <c r="A12" s="1"/>
      <c r="B12" s="64" t="s">
        <v>264</v>
      </c>
      <c r="C12" s="9">
        <v>125803</v>
      </c>
      <c r="D12" s="14" t="s">
        <v>3</v>
      </c>
      <c r="E12" s="1"/>
      <c r="F12" s="1"/>
    </row>
    <row r="13" spans="1:6" x14ac:dyDescent="0.45">
      <c r="A13" s="1"/>
      <c r="B13" s="38" t="s">
        <v>209</v>
      </c>
      <c r="C13" s="12">
        <f>SUM(C10:C12)</f>
        <v>17953199</v>
      </c>
      <c r="D13" s="13" t="s">
        <v>3</v>
      </c>
      <c r="E13" s="1"/>
      <c r="F13" s="1"/>
    </row>
    <row r="14" spans="1:6" x14ac:dyDescent="0.45">
      <c r="A14" s="1"/>
      <c r="B14" s="38" t="s">
        <v>210</v>
      </c>
      <c r="C14" s="12">
        <f>C13*(1+'Fane 14. Nøgletal'!C14)^2</f>
        <v>18071885.623737112</v>
      </c>
      <c r="D14" s="13" t="s">
        <v>3</v>
      </c>
      <c r="E14" s="1"/>
      <c r="F14" s="1"/>
    </row>
    <row r="15" spans="1:6" x14ac:dyDescent="0.45">
      <c r="A15" s="1"/>
      <c r="B15" s="16"/>
      <c r="C15" s="15"/>
      <c r="D15" s="15"/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99" t="s">
        <v>142</v>
      </c>
      <c r="C17" s="100"/>
      <c r="D17" s="101"/>
      <c r="E17" s="1"/>
      <c r="F17" s="1"/>
    </row>
    <row r="18" spans="1:6" x14ac:dyDescent="0.45">
      <c r="A18" s="1"/>
      <c r="B18" s="64" t="s">
        <v>116</v>
      </c>
      <c r="C18" s="9">
        <v>0</v>
      </c>
      <c r="D18" s="14" t="s">
        <v>3</v>
      </c>
      <c r="E18" s="1"/>
      <c r="F18" s="1"/>
    </row>
    <row r="19" spans="1:6" x14ac:dyDescent="0.45">
      <c r="A19" s="1"/>
      <c r="B19" s="64" t="s">
        <v>117</v>
      </c>
      <c r="C19" s="9">
        <v>0</v>
      </c>
      <c r="D19" s="14" t="s">
        <v>3</v>
      </c>
      <c r="E19" s="1"/>
      <c r="F19" s="1"/>
    </row>
    <row r="20" spans="1:6" x14ac:dyDescent="0.45">
      <c r="A20" s="1"/>
      <c r="B20" s="64" t="s">
        <v>154</v>
      </c>
      <c r="C20" s="9">
        <v>0</v>
      </c>
      <c r="D20" s="14" t="s">
        <v>3</v>
      </c>
      <c r="E20" s="1"/>
      <c r="F20" s="1"/>
    </row>
    <row r="21" spans="1:6" x14ac:dyDescent="0.45">
      <c r="A21" s="1"/>
      <c r="B21" s="64" t="s">
        <v>211</v>
      </c>
      <c r="C21" s="9">
        <v>0</v>
      </c>
      <c r="D21" s="14" t="s">
        <v>3</v>
      </c>
      <c r="E21" s="1"/>
      <c r="F21" s="1"/>
    </row>
    <row r="22" spans="1:6" x14ac:dyDescent="0.45">
      <c r="A22" s="1"/>
      <c r="B22" s="99"/>
      <c r="C22" s="100"/>
      <c r="D22" s="10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99" t="s">
        <v>115</v>
      </c>
      <c r="C25" s="100"/>
      <c r="D25" s="101"/>
      <c r="E25" s="1"/>
      <c r="F25" s="1"/>
    </row>
    <row r="26" spans="1:6" x14ac:dyDescent="0.45">
      <c r="A26" s="1"/>
      <c r="B26" s="64" t="s">
        <v>116</v>
      </c>
      <c r="C26" s="9">
        <v>0</v>
      </c>
      <c r="D26" s="14" t="s">
        <v>3</v>
      </c>
      <c r="E26" s="1"/>
      <c r="F26" s="1"/>
    </row>
    <row r="27" spans="1:6" x14ac:dyDescent="0.45">
      <c r="A27" s="1"/>
      <c r="B27" s="64" t="s">
        <v>117</v>
      </c>
      <c r="C27" s="9">
        <v>0</v>
      </c>
      <c r="D27" s="14" t="s">
        <v>3</v>
      </c>
      <c r="E27" s="1"/>
      <c r="F27" s="1"/>
    </row>
    <row r="28" spans="1:6" x14ac:dyDescent="0.45">
      <c r="A28" s="1"/>
      <c r="B28" s="64" t="s">
        <v>154</v>
      </c>
      <c r="C28" s="9">
        <v>0</v>
      </c>
      <c r="D28" s="14" t="s">
        <v>3</v>
      </c>
      <c r="E28" s="1"/>
      <c r="F28" s="1"/>
    </row>
    <row r="29" spans="1:6" x14ac:dyDescent="0.45">
      <c r="A29" s="1"/>
      <c r="B29" s="64" t="s">
        <v>211</v>
      </c>
      <c r="C29" s="9">
        <v>0</v>
      </c>
      <c r="D29" s="14" t="s">
        <v>3</v>
      </c>
      <c r="E29" s="1"/>
      <c r="F29" s="1"/>
    </row>
    <row r="30" spans="1:6" x14ac:dyDescent="0.45">
      <c r="A30" s="1"/>
      <c r="B30" s="99"/>
      <c r="C30" s="100"/>
      <c r="D30" s="10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82c2/GWCAd0jFWSFJUG4T2ug7FVTUgc99xip45cRUCyRr26KthE7Fwp9OoroOIowFsAMDbKPuLqA4GddAZN9XQ==" saltValue="omP3pUCTn9TM2437iPKOZg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3"/>
  <sheetViews>
    <sheetView showGridLines="0" view="pageLayout" zoomScaleNormal="100" workbookViewId="0"/>
  </sheetViews>
  <sheetFormatPr defaultColWidth="9.1328125" defaultRowHeight="14.25" x14ac:dyDescent="0.45"/>
  <cols>
    <col min="1" max="1" width="3.53125" style="2" customWidth="1"/>
    <col min="2" max="3" width="9.1328125" style="2"/>
    <col min="4" max="4" width="45.86328125" style="2" customWidth="1"/>
    <col min="5" max="5" width="12.33203125" style="2" bestFit="1" customWidth="1"/>
    <col min="6" max="6" width="3.33203125" style="2" customWidth="1"/>
    <col min="7" max="7" width="2.464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92" t="s">
        <v>212</v>
      </c>
      <c r="C3" s="92"/>
      <c r="D3" s="92"/>
      <c r="E3" s="92"/>
      <c r="F3" s="92"/>
      <c r="G3" s="1"/>
    </row>
    <row r="4" spans="1:7" ht="15" customHeight="1" x14ac:dyDescent="0.45">
      <c r="A4" s="1"/>
      <c r="B4" s="92"/>
      <c r="C4" s="92"/>
      <c r="D4" s="92"/>
      <c r="E4" s="92"/>
      <c r="F4" s="92"/>
      <c r="G4" s="1"/>
    </row>
    <row r="5" spans="1:7" ht="15" customHeight="1" x14ac:dyDescent="0.45">
      <c r="A5" s="1"/>
      <c r="B5" s="52"/>
      <c r="C5" s="52"/>
      <c r="D5" s="52"/>
      <c r="E5" s="52"/>
      <c r="F5" s="52"/>
      <c r="G5" s="1"/>
    </row>
    <row r="6" spans="1:7" ht="15" customHeight="1" x14ac:dyDescent="0.45">
      <c r="A6" s="1"/>
      <c r="B6" s="52"/>
      <c r="C6" s="52"/>
      <c r="D6" s="52"/>
      <c r="E6" s="52"/>
      <c r="F6" s="52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9" t="s">
        <v>267</v>
      </c>
      <c r="C8" s="100"/>
      <c r="D8" s="100"/>
      <c r="E8" s="100"/>
      <c r="F8" s="101"/>
      <c r="G8" s="1"/>
    </row>
    <row r="9" spans="1:7" x14ac:dyDescent="0.45">
      <c r="A9" s="1"/>
      <c r="B9" s="104" t="s">
        <v>268</v>
      </c>
      <c r="C9" s="105"/>
      <c r="D9" s="106"/>
      <c r="E9" s="9">
        <v>9926479.42966187</v>
      </c>
      <c r="F9" s="14" t="s">
        <v>3</v>
      </c>
      <c r="G9" s="1"/>
    </row>
    <row r="10" spans="1:7" x14ac:dyDescent="0.45">
      <c r="A10" s="1"/>
      <c r="B10" s="104" t="s">
        <v>269</v>
      </c>
      <c r="C10" s="105"/>
      <c r="D10" s="106"/>
      <c r="E10" s="9">
        <v>12889183.193234429</v>
      </c>
      <c r="F10" s="14" t="s">
        <v>3</v>
      </c>
      <c r="G10" s="1"/>
    </row>
    <row r="11" spans="1:7" x14ac:dyDescent="0.45">
      <c r="A11" s="1"/>
      <c r="B11" s="104" t="s">
        <v>270</v>
      </c>
      <c r="C11" s="105"/>
      <c r="D11" s="106"/>
      <c r="E11" s="9">
        <v>12889183.193234429</v>
      </c>
      <c r="F11" s="14" t="s">
        <v>3</v>
      </c>
      <c r="G11" s="1"/>
    </row>
    <row r="12" spans="1:7" x14ac:dyDescent="0.45">
      <c r="A12" s="1"/>
      <c r="B12" s="104" t="s">
        <v>271</v>
      </c>
      <c r="C12" s="105"/>
      <c r="D12" s="106"/>
      <c r="E12" s="9">
        <v>10248761.883889079</v>
      </c>
      <c r="F12" s="14" t="s">
        <v>3</v>
      </c>
      <c r="G12" s="1"/>
    </row>
    <row r="13" spans="1:7" x14ac:dyDescent="0.45">
      <c r="A13" s="1"/>
      <c r="B13" s="38"/>
      <c r="C13" s="32"/>
      <c r="D13" s="32"/>
      <c r="E13" s="32"/>
      <c r="F13" s="20"/>
      <c r="G13" s="1"/>
    </row>
    <row r="14" spans="1:7" ht="51.75" customHeight="1" x14ac:dyDescent="0.45">
      <c r="A14" s="1"/>
      <c r="B14" s="89" t="s">
        <v>272</v>
      </c>
      <c r="C14" s="90"/>
      <c r="D14" s="90"/>
      <c r="E14" s="90"/>
      <c r="F14" s="91"/>
      <c r="G14" s="1"/>
    </row>
    <row r="15" spans="1:7" ht="27" customHeight="1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9" t="s">
        <v>273</v>
      </c>
      <c r="C16" s="100"/>
      <c r="D16" s="100"/>
      <c r="E16" s="100"/>
      <c r="F16" s="101"/>
      <c r="G16" s="1"/>
    </row>
    <row r="17" spans="1:7" x14ac:dyDescent="0.45">
      <c r="A17" s="1"/>
      <c r="B17" s="104" t="s">
        <v>274</v>
      </c>
      <c r="C17" s="105"/>
      <c r="D17" s="106"/>
      <c r="E17" s="9">
        <v>0</v>
      </c>
      <c r="F17" s="14" t="s">
        <v>3</v>
      </c>
      <c r="G17" s="1"/>
    </row>
    <row r="18" spans="1:7" x14ac:dyDescent="0.45">
      <c r="A18" s="1"/>
      <c r="B18" s="104" t="s">
        <v>275</v>
      </c>
      <c r="C18" s="105"/>
      <c r="D18" s="106"/>
      <c r="E18" s="9">
        <v>0</v>
      </c>
      <c r="F18" s="14" t="s">
        <v>3</v>
      </c>
      <c r="G18" s="1"/>
    </row>
    <row r="19" spans="1:7" x14ac:dyDescent="0.45">
      <c r="A19" s="1"/>
      <c r="B19" s="38"/>
      <c r="C19" s="32"/>
      <c r="D19" s="32"/>
      <c r="E19" s="32"/>
      <c r="F19" s="20"/>
      <c r="G19" s="1"/>
    </row>
    <row r="20" spans="1:7" ht="29.25" customHeight="1" x14ac:dyDescent="0.45">
      <c r="A20" s="1"/>
      <c r="B20" s="89" t="s">
        <v>276</v>
      </c>
      <c r="C20" s="90"/>
      <c r="D20" s="90"/>
      <c r="E20" s="90"/>
      <c r="F20" s="9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56" t="s">
        <v>213</v>
      </c>
      <c r="C22" s="57"/>
      <c r="D22" s="57"/>
      <c r="E22" s="57"/>
      <c r="F22" s="58"/>
      <c r="G22" s="1"/>
    </row>
    <row r="23" spans="1:7" x14ac:dyDescent="0.45">
      <c r="A23" s="1"/>
      <c r="B23" s="61" t="s">
        <v>214</v>
      </c>
      <c r="C23" s="62"/>
      <c r="D23" s="63"/>
      <c r="E23" s="9">
        <v>68010161.431362897</v>
      </c>
      <c r="F23" s="14" t="s">
        <v>3</v>
      </c>
      <c r="G23" s="1"/>
    </row>
    <row r="24" spans="1:7" x14ac:dyDescent="0.45">
      <c r="A24" s="1"/>
      <c r="B24" s="61" t="s">
        <v>215</v>
      </c>
      <c r="C24" s="62"/>
      <c r="D24" s="63"/>
      <c r="E24" s="9">
        <v>66519417</v>
      </c>
      <c r="F24" s="14" t="s">
        <v>3</v>
      </c>
      <c r="G24" s="1"/>
    </row>
    <row r="25" spans="1:7" x14ac:dyDescent="0.45">
      <c r="A25" s="1"/>
      <c r="B25" s="61" t="s">
        <v>36</v>
      </c>
      <c r="C25" s="62"/>
      <c r="D25" s="63"/>
      <c r="E25" s="9">
        <v>0</v>
      </c>
      <c r="F25" s="14" t="s">
        <v>3</v>
      </c>
      <c r="G25" s="1"/>
    </row>
    <row r="26" spans="1:7" x14ac:dyDescent="0.45">
      <c r="A26" s="1"/>
      <c r="B26" s="59" t="s">
        <v>277</v>
      </c>
      <c r="C26" s="60"/>
      <c r="D26" s="66"/>
      <c r="E26" s="48">
        <f>E23-(E24-E25)</f>
        <v>1490744.4313628972</v>
      </c>
      <c r="F26" s="17" t="s">
        <v>3</v>
      </c>
      <c r="G26" s="1"/>
    </row>
    <row r="27" spans="1:7" x14ac:dyDescent="0.45">
      <c r="A27" s="1"/>
      <c r="B27" s="38"/>
      <c r="C27" s="32"/>
      <c r="D27" s="32"/>
      <c r="E27" s="32"/>
      <c r="F27" s="20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99" t="s">
        <v>186</v>
      </c>
      <c r="C30" s="100"/>
      <c r="D30" s="100"/>
      <c r="E30" s="100"/>
      <c r="F30" s="101"/>
      <c r="G30" s="1"/>
    </row>
    <row r="31" spans="1:7" x14ac:dyDescent="0.45">
      <c r="A31" s="1"/>
      <c r="B31" s="120" t="s">
        <v>284</v>
      </c>
      <c r="C31" s="121"/>
      <c r="D31" s="122"/>
      <c r="E31" s="9">
        <v>0</v>
      </c>
      <c r="F31" s="14"/>
      <c r="G31" s="1"/>
    </row>
    <row r="32" spans="1:7" x14ac:dyDescent="0.45">
      <c r="A32" s="1"/>
      <c r="B32" s="120" t="s">
        <v>187</v>
      </c>
      <c r="C32" s="121"/>
      <c r="D32" s="122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0</v>
      </c>
      <c r="F32" s="14" t="s">
        <v>3</v>
      </c>
      <c r="G32" s="1"/>
    </row>
    <row r="33" spans="1:7" x14ac:dyDescent="0.45">
      <c r="A33" s="1"/>
      <c r="B33" s="120" t="s">
        <v>120</v>
      </c>
      <c r="C33" s="121"/>
      <c r="D33" s="122"/>
      <c r="E33" s="9">
        <v>2</v>
      </c>
      <c r="F33" s="14" t="s">
        <v>21</v>
      </c>
      <c r="G33" s="1"/>
    </row>
    <row r="34" spans="1:7" x14ac:dyDescent="0.45">
      <c r="A34" s="1"/>
      <c r="B34" s="116" t="s">
        <v>188</v>
      </c>
      <c r="C34" s="116"/>
      <c r="D34" s="116"/>
      <c r="E34" s="10">
        <f>E32/E33</f>
        <v>0</v>
      </c>
      <c r="F34" s="17" t="s">
        <v>3</v>
      </c>
      <c r="G34" s="1"/>
    </row>
    <row r="35" spans="1:7" x14ac:dyDescent="0.45">
      <c r="A35" s="1"/>
      <c r="B35" s="117"/>
      <c r="C35" s="118"/>
      <c r="D35" s="118"/>
      <c r="E35" s="118"/>
      <c r="F35" s="119"/>
      <c r="G35" s="1"/>
    </row>
    <row r="36" spans="1:7" ht="75" customHeight="1" x14ac:dyDescent="0.45">
      <c r="A36" s="1"/>
      <c r="B36" s="89" t="s">
        <v>283</v>
      </c>
      <c r="C36" s="90"/>
      <c r="D36" s="90"/>
      <c r="E36" s="90"/>
      <c r="F36" s="9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</sheetData>
  <sheetProtection algorithmName="SHA-512" hashValue="tMPgIVkqL8AREE5WbN43IQ2nffBkRvtYzwtECwkojAgUzbZ3Skeik07DrTwC04k/e6QsLidZznNNoVm1b//bmA==" saltValue="FodYoBb9QC8aaRdB1isJKA==" spinCount="100000" sheet="1" objects="1" scenarios="1"/>
  <mergeCells count="18"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  <mergeCell ref="B34:D34"/>
    <mergeCell ref="B35:F35"/>
    <mergeCell ref="B36:F36"/>
    <mergeCell ref="B20:F20"/>
    <mergeCell ref="B30:F30"/>
    <mergeCell ref="B31:D31"/>
    <mergeCell ref="B32:D32"/>
    <mergeCell ref="B33:D33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3125" style="2" customWidth="1"/>
    <col min="2" max="3" width="9.1328125" style="2"/>
    <col min="4" max="4" width="45.53125" style="2" customWidth="1"/>
    <col min="5" max="5" width="12.6640625" style="2" bestFit="1" customWidth="1"/>
    <col min="6" max="6" width="3.33203125" style="2" customWidth="1"/>
    <col min="7" max="7" width="2.464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92" t="s">
        <v>216</v>
      </c>
      <c r="C3" s="92"/>
      <c r="D3" s="92"/>
      <c r="E3" s="92"/>
      <c r="F3" s="92"/>
      <c r="G3" s="1"/>
    </row>
    <row r="4" spans="1:7" ht="15" customHeight="1" x14ac:dyDescent="0.45">
      <c r="A4" s="1"/>
      <c r="B4" s="92"/>
      <c r="C4" s="92"/>
      <c r="D4" s="92"/>
      <c r="E4" s="92"/>
      <c r="F4" s="9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99" t="s">
        <v>217</v>
      </c>
      <c r="C9" s="100"/>
      <c r="D9" s="100"/>
      <c r="E9" s="100"/>
      <c r="F9" s="101"/>
      <c r="G9" s="1"/>
    </row>
    <row r="10" spans="1:7" x14ac:dyDescent="0.45">
      <c r="A10" s="1"/>
      <c r="B10" s="89" t="s">
        <v>118</v>
      </c>
      <c r="C10" s="90"/>
      <c r="D10" s="91"/>
      <c r="E10" s="7">
        <v>0</v>
      </c>
      <c r="F10" s="8" t="s">
        <v>3</v>
      </c>
      <c r="G10" s="1"/>
    </row>
    <row r="11" spans="1:7" x14ac:dyDescent="0.45">
      <c r="A11" s="1"/>
      <c r="B11" s="104" t="s">
        <v>218</v>
      </c>
      <c r="C11" s="105"/>
      <c r="D11" s="106"/>
      <c r="E11" s="7">
        <v>0</v>
      </c>
      <c r="F11" s="8" t="s">
        <v>3</v>
      </c>
      <c r="G11" s="1"/>
    </row>
    <row r="12" spans="1:7" x14ac:dyDescent="0.45">
      <c r="A12" s="1"/>
      <c r="B12" s="102" t="s">
        <v>119</v>
      </c>
      <c r="C12" s="103"/>
      <c r="D12" s="123"/>
      <c r="E12" s="10">
        <f>E11-E10</f>
        <v>0</v>
      </c>
      <c r="F12" s="11" t="s">
        <v>3</v>
      </c>
      <c r="G12" s="1"/>
    </row>
    <row r="13" spans="1:7" x14ac:dyDescent="0.45">
      <c r="A13" s="1"/>
      <c r="B13" s="99" t="s">
        <v>109</v>
      </c>
      <c r="C13" s="100"/>
      <c r="D13" s="100"/>
      <c r="E13" s="100"/>
      <c r="F13" s="101"/>
      <c r="G13" s="1"/>
    </row>
    <row r="14" spans="1:7" x14ac:dyDescent="0.45">
      <c r="A14" s="1"/>
      <c r="B14" s="104" t="s">
        <v>219</v>
      </c>
      <c r="C14" s="105"/>
      <c r="D14" s="106"/>
      <c r="E14" s="9">
        <v>0</v>
      </c>
      <c r="F14" s="8" t="s">
        <v>3</v>
      </c>
      <c r="G14" s="1"/>
    </row>
    <row r="15" spans="1:7" x14ac:dyDescent="0.45">
      <c r="A15" s="1"/>
      <c r="B15" s="89" t="s">
        <v>220</v>
      </c>
      <c r="C15" s="90"/>
      <c r="D15" s="91"/>
      <c r="E15" s="9">
        <v>0</v>
      </c>
      <c r="F15" s="8" t="s">
        <v>3</v>
      </c>
      <c r="G15" s="1"/>
    </row>
    <row r="16" spans="1:7" x14ac:dyDescent="0.45">
      <c r="A16" s="1"/>
      <c r="B16" s="102" t="s">
        <v>119</v>
      </c>
      <c r="C16" s="103"/>
      <c r="D16" s="123"/>
      <c r="E16" s="10">
        <f>E15-E14</f>
        <v>0</v>
      </c>
      <c r="F16" s="11" t="s">
        <v>3</v>
      </c>
      <c r="G16" s="1"/>
    </row>
    <row r="17" spans="1:7" x14ac:dyDescent="0.45">
      <c r="A17" s="1"/>
      <c r="B17" s="38" t="s">
        <v>221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BLBb7TKOuHS2xZ0eXZtiF4ZZhlFhENX2cMGY076dso5Aw2K2rW5wstd9V0O49A5bwyqUHENQcySZP4pwnTgdLg==" saltValue="UzDFGZqV4bGjjMoeGIB0Xw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6640625" style="2" customWidth="1"/>
    <col min="2" max="2" width="22.53125" style="2" customWidth="1"/>
    <col min="3" max="3" width="8.33203125" style="2" customWidth="1"/>
    <col min="4" max="6" width="10.6640625" style="2" customWidth="1"/>
    <col min="7" max="7" width="11.1328125" style="2" customWidth="1"/>
    <col min="8" max="8" width="3.332031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7" t="s">
        <v>177</v>
      </c>
      <c r="C3" s="87"/>
      <c r="D3" s="87"/>
      <c r="E3" s="87"/>
      <c r="F3" s="87"/>
      <c r="G3" s="87"/>
      <c r="H3" s="87"/>
      <c r="I3" s="1"/>
    </row>
    <row r="4" spans="1:9" ht="15" customHeight="1" x14ac:dyDescent="0.4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9" t="s">
        <v>178</v>
      </c>
      <c r="C8" s="100"/>
      <c r="D8" s="100"/>
      <c r="E8" s="100"/>
      <c r="F8" s="100"/>
      <c r="G8" s="100"/>
      <c r="H8" s="101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45">
      <c r="A10" s="1"/>
      <c r="B10" s="67" t="s">
        <v>285</v>
      </c>
      <c r="C10" s="49">
        <v>0</v>
      </c>
      <c r="D10" s="9">
        <v>0</v>
      </c>
      <c r="E10" s="9">
        <f t="shared" ref="E10" si="0"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45">
      <c r="A11" s="1"/>
      <c r="B11" s="99" t="s">
        <v>179</v>
      </c>
      <c r="C11" s="100"/>
      <c r="D11" s="101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tMCRnsne7yGngbpbuPpkjTKD1ff3lgg12ertnRn02iyaGrqHIbQQ0o6/nMLMSSPXAiTGMEOV27u7O04JADMAJw==" saltValue="DZPGMI5HOn0nMS5nYtNqO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46484375" style="2" customWidth="1"/>
    <col min="3" max="3" width="16.33203125" style="2" customWidth="1"/>
    <col min="4" max="4" width="3.33203125" style="2" customWidth="1"/>
    <col min="5" max="5" width="19.1328125" style="2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7" t="s">
        <v>135</v>
      </c>
      <c r="C3" s="87"/>
      <c r="D3" s="87"/>
      <c r="E3" s="87"/>
      <c r="F3" s="87"/>
      <c r="G3" s="1"/>
    </row>
    <row r="4" spans="1:7" ht="15" customHeight="1" x14ac:dyDescent="0.45">
      <c r="A4" s="1"/>
      <c r="B4" s="87"/>
      <c r="C4" s="87"/>
      <c r="D4" s="87"/>
      <c r="E4" s="87"/>
      <c r="F4" s="87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45">
      <c r="A9" s="1"/>
      <c r="B9" s="54" t="s">
        <v>18</v>
      </c>
      <c r="C9" s="54" t="s">
        <v>12</v>
      </c>
      <c r="D9" s="55"/>
      <c r="E9" s="54" t="s">
        <v>34</v>
      </c>
      <c r="F9" s="37"/>
      <c r="G9" s="1"/>
    </row>
    <row r="10" spans="1:7" x14ac:dyDescent="0.4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45">
      <c r="A11" s="1"/>
      <c r="B11" s="47" t="s">
        <v>266</v>
      </c>
      <c r="C11" s="22">
        <v>0</v>
      </c>
      <c r="D11" s="14" t="s">
        <v>3</v>
      </c>
      <c r="E11" s="9">
        <v>1049004</v>
      </c>
      <c r="F11" s="14" t="s">
        <v>3</v>
      </c>
      <c r="G11" s="1"/>
    </row>
    <row r="12" spans="1:7" x14ac:dyDescent="0.45">
      <c r="A12" s="1"/>
      <c r="B12" s="47" t="s">
        <v>279</v>
      </c>
      <c r="C12" s="22">
        <v>133896</v>
      </c>
      <c r="D12" s="14" t="s">
        <v>3</v>
      </c>
      <c r="E12" s="9">
        <v>353584</v>
      </c>
      <c r="F12" s="14" t="s">
        <v>3</v>
      </c>
      <c r="G12" s="1"/>
    </row>
    <row r="13" spans="1:7" x14ac:dyDescent="0.45">
      <c r="A13" s="1"/>
      <c r="B13" s="47" t="s">
        <v>280</v>
      </c>
      <c r="C13" s="22">
        <v>21560</v>
      </c>
      <c r="D13" s="14" t="s">
        <v>3</v>
      </c>
      <c r="E13" s="9">
        <v>0</v>
      </c>
      <c r="F13" s="14" t="s">
        <v>3</v>
      </c>
      <c r="G13" s="1"/>
    </row>
    <row r="14" spans="1:7" x14ac:dyDescent="0.45">
      <c r="A14" s="1"/>
      <c r="B14" s="25" t="s">
        <v>281</v>
      </c>
      <c r="C14" s="22">
        <v>64652</v>
      </c>
      <c r="D14" s="14" t="s">
        <v>3</v>
      </c>
      <c r="E14" s="9">
        <v>0</v>
      </c>
      <c r="F14" s="14" t="s">
        <v>3</v>
      </c>
      <c r="G14" s="1"/>
    </row>
    <row r="15" spans="1:7" x14ac:dyDescent="0.45">
      <c r="A15" s="1"/>
      <c r="B15" s="38" t="s">
        <v>163</v>
      </c>
      <c r="C15" s="12">
        <f>SUM(C10:C14)</f>
        <v>220108</v>
      </c>
      <c r="D15" s="13" t="s">
        <v>3</v>
      </c>
      <c r="E15" s="12">
        <f>SUM(E10:E14)</f>
        <v>1402588</v>
      </c>
      <c r="F15" s="13" t="s">
        <v>3</v>
      </c>
      <c r="G15" s="1"/>
    </row>
    <row r="16" spans="1:7" x14ac:dyDescent="0.45">
      <c r="A16" s="1"/>
      <c r="B16" s="38" t="s">
        <v>222</v>
      </c>
      <c r="C16" s="12">
        <f>C15*(1+'Fane 14. Nøgletal'!C14)</f>
        <v>220834.35640000002</v>
      </c>
      <c r="D16" s="13" t="s">
        <v>3</v>
      </c>
      <c r="E16" s="12">
        <f>E15*(1+'Fane 14. Nøgletal'!C14)</f>
        <v>1407216.5404000001</v>
      </c>
      <c r="F16" s="13" t="s">
        <v>3</v>
      </c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</sheetData>
  <sheetProtection algorithmName="SHA-512" hashValue="jjTQ5rcgB7gZhcPdm15hkPJo93k5mzuHq8fZp6iKBquOgWZaF2eHSTRUI/sNg6qB8j/Kz8wZGu9q7ZUxq7uUrg==" saltValue="844TYyviKD/6lA2yT9bEB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3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46484375" style="2" customWidth="1"/>
    <col min="3" max="3" width="16.33203125" style="2" customWidth="1"/>
    <col min="4" max="4" width="3.46484375" style="2" bestFit="1" customWidth="1"/>
    <col min="5" max="5" width="17.6640625" style="2" bestFit="1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7" t="s">
        <v>134</v>
      </c>
      <c r="C3" s="87"/>
      <c r="D3" s="87"/>
      <c r="E3" s="87"/>
      <c r="F3" s="87"/>
      <c r="G3" s="1"/>
    </row>
    <row r="4" spans="1:7" ht="15" customHeight="1" x14ac:dyDescent="0.45">
      <c r="A4" s="1"/>
      <c r="B4" s="87"/>
      <c r="C4" s="87"/>
      <c r="D4" s="87"/>
      <c r="E4" s="87"/>
      <c r="F4" s="87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9" t="s">
        <v>112</v>
      </c>
      <c r="C8" s="100"/>
      <c r="D8" s="100"/>
      <c r="E8" s="100"/>
      <c r="F8" s="101"/>
      <c r="G8" s="1"/>
    </row>
    <row r="9" spans="1:7" x14ac:dyDescent="0.45">
      <c r="A9" s="1"/>
      <c r="B9" s="54" t="s">
        <v>18</v>
      </c>
      <c r="C9" s="54" t="s">
        <v>12</v>
      </c>
      <c r="D9" s="55"/>
      <c r="E9" s="54" t="s">
        <v>34</v>
      </c>
      <c r="F9" s="37"/>
      <c r="G9" s="1"/>
    </row>
    <row r="10" spans="1:7" x14ac:dyDescent="0.45">
      <c r="A10" s="1"/>
      <c r="B10" s="25" t="s">
        <v>280</v>
      </c>
      <c r="C10" s="22">
        <v>21560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7" t="s">
        <v>281</v>
      </c>
      <c r="C11" s="22">
        <v>646524</v>
      </c>
      <c r="D11" s="14" t="s">
        <v>3</v>
      </c>
      <c r="E11" s="9">
        <v>0</v>
      </c>
      <c r="F11" s="14" t="s">
        <v>3</v>
      </c>
      <c r="G11" s="1"/>
    </row>
    <row r="12" spans="1:7" x14ac:dyDescent="0.45">
      <c r="A12" s="1"/>
      <c r="B12" s="38" t="s">
        <v>223</v>
      </c>
      <c r="C12" s="12">
        <f>SUM(C10:C11)</f>
        <v>668084</v>
      </c>
      <c r="D12" s="13" t="s">
        <v>3</v>
      </c>
      <c r="E12" s="12">
        <f>SUM(E10:E11)</f>
        <v>0</v>
      </c>
      <c r="F12" s="13" t="s">
        <v>3</v>
      </c>
      <c r="G12" s="1"/>
    </row>
    <row r="13" spans="1:7" x14ac:dyDescent="0.45">
      <c r="A13" s="1"/>
      <c r="B13" s="27" t="s">
        <v>10</v>
      </c>
      <c r="C13" s="28">
        <f>-C12*'Fane 5. Individuelt eff. krav'!G12</f>
        <v>-10400.961903225458</v>
      </c>
      <c r="D13" s="29" t="s">
        <v>3</v>
      </c>
      <c r="E13" s="28">
        <f>-E12*'Fane 5. Individuelt eff. krav'!G12</f>
        <v>0</v>
      </c>
      <c r="F13" s="29" t="s">
        <v>3</v>
      </c>
      <c r="G13" s="1"/>
    </row>
    <row r="14" spans="1:7" x14ac:dyDescent="0.45">
      <c r="A14" s="1"/>
      <c r="B14" s="27" t="s">
        <v>114</v>
      </c>
      <c r="C14" s="28">
        <f>-C12*'Fane 14. Nøgletal'!C29</f>
        <v>-13361.68</v>
      </c>
      <c r="D14" s="29" t="s">
        <v>3</v>
      </c>
      <c r="E14" s="28">
        <f>-E12*'Fane 14. Nøgletal'!C24</f>
        <v>0</v>
      </c>
      <c r="F14" s="29" t="s">
        <v>3</v>
      </c>
      <c r="G14" s="1"/>
    </row>
    <row r="15" spans="1:7" x14ac:dyDescent="0.45">
      <c r="A15" s="1"/>
      <c r="B15" s="38" t="s">
        <v>164</v>
      </c>
      <c r="C15" s="12">
        <f>SUM(C12:C14)*(1+'Fane 14. Nøgletal'!C14)^2</f>
        <v>648580.89571980294</v>
      </c>
      <c r="D15" s="13" t="s">
        <v>3</v>
      </c>
      <c r="E15" s="12">
        <f>SUM(E12:E14)*(1+'Fane 14. Nøgletal'!C14)^2</f>
        <v>0</v>
      </c>
      <c r="F15" s="13" t="s">
        <v>3</v>
      </c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99" t="s">
        <v>113</v>
      </c>
      <c r="C17" s="100"/>
      <c r="D17" s="100"/>
      <c r="E17" s="100"/>
      <c r="F17" s="101"/>
      <c r="G17" s="1"/>
    </row>
    <row r="18" spans="1:7" x14ac:dyDescent="0.45">
      <c r="A18" s="1"/>
      <c r="B18" s="54" t="s">
        <v>18</v>
      </c>
      <c r="C18" s="54" t="s">
        <v>12</v>
      </c>
      <c r="D18" s="55"/>
      <c r="E18" s="54" t="s">
        <v>34</v>
      </c>
      <c r="F18" s="37"/>
      <c r="G18" s="1"/>
    </row>
    <row r="19" spans="1:7" x14ac:dyDescent="0.45">
      <c r="A19" s="1"/>
      <c r="B19" s="25" t="s">
        <v>282</v>
      </c>
      <c r="C19" s="22">
        <v>0</v>
      </c>
      <c r="D19" s="14" t="s">
        <v>3</v>
      </c>
      <c r="E19" s="9">
        <v>0</v>
      </c>
      <c r="F19" s="14" t="s">
        <v>3</v>
      </c>
      <c r="G19" s="1"/>
    </row>
    <row r="20" spans="1:7" x14ac:dyDescent="0.45">
      <c r="A20" s="1"/>
      <c r="B20" s="38" t="s">
        <v>223</v>
      </c>
      <c r="C20" s="12">
        <f>SUM(C19:C19)</f>
        <v>0</v>
      </c>
      <c r="D20" s="13" t="s">
        <v>3</v>
      </c>
      <c r="E20" s="12">
        <f>SUM(E19:E19)</f>
        <v>0</v>
      </c>
      <c r="F20" s="13" t="s">
        <v>3</v>
      </c>
      <c r="G20" s="1"/>
    </row>
    <row r="21" spans="1:7" x14ac:dyDescent="0.45">
      <c r="A21" s="1"/>
      <c r="B21" s="27" t="s">
        <v>10</v>
      </c>
      <c r="C21" s="28">
        <f>-C20*'Fane 5. Individuelt eff. krav'!G12</f>
        <v>0</v>
      </c>
      <c r="D21" s="29" t="s">
        <v>3</v>
      </c>
      <c r="E21" s="28">
        <f>-E20*'Fane 5. Individuelt eff. krav'!G12</f>
        <v>0</v>
      </c>
      <c r="F21" s="29" t="s">
        <v>3</v>
      </c>
      <c r="G21" s="1"/>
    </row>
    <row r="22" spans="1:7" x14ac:dyDescent="0.45">
      <c r="A22" s="1"/>
      <c r="B22" s="27" t="s">
        <v>114</v>
      </c>
      <c r="C22" s="28">
        <f>-C20*'Fane 14. Nøgletal'!C29</f>
        <v>0</v>
      </c>
      <c r="D22" s="29" t="s">
        <v>3</v>
      </c>
      <c r="E22" s="28">
        <f>-E20*'Fane 14. Nøgletal'!C24</f>
        <v>0</v>
      </c>
      <c r="F22" s="29" t="s">
        <v>3</v>
      </c>
      <c r="G22" s="1"/>
    </row>
    <row r="23" spans="1:7" x14ac:dyDescent="0.45">
      <c r="A23" s="1"/>
      <c r="B23" s="38" t="s">
        <v>165</v>
      </c>
      <c r="C23" s="12">
        <f>SUM(C20:C22)*(1+'Fane 14. Nøgletal'!C14)^3</f>
        <v>0</v>
      </c>
      <c r="D23" s="13" t="s">
        <v>3</v>
      </c>
      <c r="E23" s="12">
        <f>SUM(E20:E22)*(1+'Fane 14. Nøgletal'!C14)^3</f>
        <v>0</v>
      </c>
      <c r="F23" s="13" t="s">
        <v>3</v>
      </c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99" t="s">
        <v>166</v>
      </c>
      <c r="C25" s="100"/>
      <c r="D25" s="100"/>
      <c r="E25" s="100"/>
      <c r="F25" s="101"/>
      <c r="G25" s="1"/>
    </row>
    <row r="26" spans="1:7" x14ac:dyDescent="0.45">
      <c r="A26" s="1"/>
      <c r="B26" s="54" t="s">
        <v>18</v>
      </c>
      <c r="C26" s="54" t="s">
        <v>12</v>
      </c>
      <c r="D26" s="55"/>
      <c r="E26" s="54" t="s">
        <v>34</v>
      </c>
      <c r="F26" s="37"/>
      <c r="G26" s="1"/>
    </row>
    <row r="27" spans="1:7" x14ac:dyDescent="0.45">
      <c r="A27" s="1"/>
      <c r="B27" s="25" t="s">
        <v>282</v>
      </c>
      <c r="C27" s="22">
        <v>0</v>
      </c>
      <c r="D27" s="14" t="s">
        <v>3</v>
      </c>
      <c r="E27" s="9">
        <v>0</v>
      </c>
      <c r="F27" s="14" t="s">
        <v>3</v>
      </c>
      <c r="G27" s="1"/>
    </row>
    <row r="28" spans="1:7" x14ac:dyDescent="0.45">
      <c r="A28" s="1"/>
      <c r="B28" s="38" t="s">
        <v>223</v>
      </c>
      <c r="C28" s="12">
        <f>SUM(C27:C27)</f>
        <v>0</v>
      </c>
      <c r="D28" s="13" t="s">
        <v>3</v>
      </c>
      <c r="E28" s="12">
        <f>SUM(E27:E27)</f>
        <v>0</v>
      </c>
      <c r="F28" s="13" t="s">
        <v>3</v>
      </c>
      <c r="G28" s="1"/>
    </row>
    <row r="29" spans="1:7" x14ac:dyDescent="0.45">
      <c r="A29" s="1"/>
      <c r="B29" s="27" t="s">
        <v>10</v>
      </c>
      <c r="C29" s="28">
        <f>-C28*'Fane 5. Individuelt eff. krav'!G12</f>
        <v>0</v>
      </c>
      <c r="D29" s="29" t="s">
        <v>3</v>
      </c>
      <c r="E29" s="28">
        <f>-E28*'Fane 5. Individuelt eff. krav'!G12</f>
        <v>0</v>
      </c>
      <c r="F29" s="29" t="s">
        <v>3</v>
      </c>
      <c r="G29" s="1"/>
    </row>
    <row r="30" spans="1:7" x14ac:dyDescent="0.45">
      <c r="A30" s="1"/>
      <c r="B30" s="27" t="s">
        <v>114</v>
      </c>
      <c r="C30" s="28">
        <f>-C28*'Fane 14. Nøgletal'!C29</f>
        <v>0</v>
      </c>
      <c r="D30" s="29" t="s">
        <v>3</v>
      </c>
      <c r="E30" s="28">
        <f>-E28*'Fane 14. Nøgletal'!C24</f>
        <v>0</v>
      </c>
      <c r="F30" s="29" t="s">
        <v>3</v>
      </c>
      <c r="G30" s="1"/>
    </row>
    <row r="31" spans="1:7" x14ac:dyDescent="0.45">
      <c r="A31" s="1"/>
      <c r="B31" s="38" t="s">
        <v>167</v>
      </c>
      <c r="C31" s="12">
        <f>SUM(C28:C30)*(1+'Fane 14. Nøgletal'!C14)^4</f>
        <v>0</v>
      </c>
      <c r="D31" s="13" t="s">
        <v>3</v>
      </c>
      <c r="E31" s="12">
        <f>SUM(E28:E30)*(1+'Fane 14. Nøgletal'!C14)^4</f>
        <v>0</v>
      </c>
      <c r="F31" s="13" t="s">
        <v>3</v>
      </c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99" t="s">
        <v>224</v>
      </c>
      <c r="C33" s="100"/>
      <c r="D33" s="100"/>
      <c r="E33" s="100"/>
      <c r="F33" s="101"/>
      <c r="G33" s="1"/>
    </row>
    <row r="34" spans="1:7" x14ac:dyDescent="0.45">
      <c r="A34" s="1"/>
      <c r="B34" s="54" t="s">
        <v>18</v>
      </c>
      <c r="C34" s="54" t="s">
        <v>12</v>
      </c>
      <c r="D34" s="55"/>
      <c r="E34" s="54" t="s">
        <v>34</v>
      </c>
      <c r="F34" s="37"/>
      <c r="G34" s="1"/>
    </row>
    <row r="35" spans="1:7" x14ac:dyDescent="0.45">
      <c r="A35" s="1"/>
      <c r="B35" s="25" t="s">
        <v>282</v>
      </c>
      <c r="C35" s="22">
        <v>0</v>
      </c>
      <c r="D35" s="14" t="s">
        <v>3</v>
      </c>
      <c r="E35" s="9">
        <v>0</v>
      </c>
      <c r="F35" s="14" t="s">
        <v>3</v>
      </c>
      <c r="G35" s="1"/>
    </row>
    <row r="36" spans="1:7" x14ac:dyDescent="0.45">
      <c r="A36" s="1"/>
      <c r="B36" s="38" t="s">
        <v>223</v>
      </c>
      <c r="C36" s="12">
        <f>SUM(C35:C35)</f>
        <v>0</v>
      </c>
      <c r="D36" s="13" t="s">
        <v>3</v>
      </c>
      <c r="E36" s="12">
        <f>SUM(E35:E35)</f>
        <v>0</v>
      </c>
      <c r="F36" s="13" t="s">
        <v>3</v>
      </c>
      <c r="G36" s="1"/>
    </row>
    <row r="37" spans="1:7" x14ac:dyDescent="0.45">
      <c r="A37" s="1"/>
      <c r="B37" s="27" t="s">
        <v>10</v>
      </c>
      <c r="C37" s="28">
        <f>-C36*'Fane 5. Individuelt eff. krav'!G12</f>
        <v>0</v>
      </c>
      <c r="D37" s="29" t="s">
        <v>3</v>
      </c>
      <c r="E37" s="28">
        <f>-E36*'Fane 5. Individuelt eff. krav'!G12</f>
        <v>0</v>
      </c>
      <c r="F37" s="29" t="s">
        <v>3</v>
      </c>
      <c r="G37" s="1"/>
    </row>
    <row r="38" spans="1:7" x14ac:dyDescent="0.45">
      <c r="A38" s="1"/>
      <c r="B38" s="27" t="s">
        <v>114</v>
      </c>
      <c r="C38" s="28">
        <f>-C36*'Fane 14. Nøgletal'!C29</f>
        <v>0</v>
      </c>
      <c r="D38" s="29" t="s">
        <v>3</v>
      </c>
      <c r="E38" s="28">
        <f>-E36*'Fane 14. Nøgletal'!C24</f>
        <v>0</v>
      </c>
      <c r="F38" s="29" t="s">
        <v>3</v>
      </c>
      <c r="G38" s="1"/>
    </row>
    <row r="39" spans="1:7" x14ac:dyDescent="0.45">
      <c r="A39" s="1"/>
      <c r="B39" s="38" t="s">
        <v>225</v>
      </c>
      <c r="C39" s="12">
        <f>SUM(C36:C38)*(1+'Fane 14. Nøgletal'!C14)^5</f>
        <v>0</v>
      </c>
      <c r="D39" s="13" t="s">
        <v>3</v>
      </c>
      <c r="E39" s="12">
        <f>SUM(E36:E38)*(1+'Fane 14. Nøgletal'!C14)^5</f>
        <v>0</v>
      </c>
      <c r="F39" s="13" t="s">
        <v>3</v>
      </c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</sheetData>
  <sheetProtection algorithmName="SHA-512" hashValue="25ybKoJ9CcpUocowQtcgvUtoaZOAzEE+0om5LUZtNh6OcibmbhFk7h+RM8xiYpknsswO1wdAlT7uhDHI4mKtIg==" saltValue="i+uyXGzi7gIyD5kPnpSxHA==" spinCount="100000" sheet="1" objects="1" scenarios="1"/>
  <mergeCells count="5">
    <mergeCell ref="B3:F4"/>
    <mergeCell ref="B8:F8"/>
    <mergeCell ref="B17:F17"/>
    <mergeCell ref="B25:F25"/>
    <mergeCell ref="B33:F3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46484375" style="2" customWidth="1"/>
    <col min="3" max="3" width="16.33203125" style="2" customWidth="1"/>
    <col min="4" max="4" width="3.33203125" style="2" customWidth="1"/>
    <col min="5" max="5" width="19.1328125" style="2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2" t="s">
        <v>136</v>
      </c>
      <c r="C3" s="92"/>
      <c r="D3" s="92"/>
      <c r="E3" s="92"/>
      <c r="F3" s="92"/>
      <c r="G3" s="1"/>
    </row>
    <row r="4" spans="1:7" ht="15" customHeight="1" x14ac:dyDescent="0.45">
      <c r="A4" s="1"/>
      <c r="B4" s="92"/>
      <c r="C4" s="92"/>
      <c r="D4" s="92"/>
      <c r="E4" s="92"/>
      <c r="F4" s="92"/>
      <c r="G4" s="1"/>
    </row>
    <row r="5" spans="1:7" x14ac:dyDescent="0.45">
      <c r="A5" s="1"/>
      <c r="B5" s="92"/>
      <c r="C5" s="92"/>
      <c r="D5" s="92"/>
      <c r="E5" s="92"/>
      <c r="F5" s="92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9" t="s">
        <v>103</v>
      </c>
      <c r="C8" s="100"/>
      <c r="D8" s="100"/>
      <c r="E8" s="100"/>
      <c r="F8" s="101"/>
      <c r="G8" s="1"/>
    </row>
    <row r="9" spans="1:7" x14ac:dyDescent="0.45">
      <c r="A9" s="1"/>
      <c r="B9" s="124" t="s">
        <v>226</v>
      </c>
      <c r="C9" s="125"/>
      <c r="D9" s="126"/>
      <c r="E9" s="9">
        <v>0</v>
      </c>
      <c r="F9" s="14" t="s">
        <v>3</v>
      </c>
      <c r="G9" s="1"/>
    </row>
    <row r="10" spans="1:7" x14ac:dyDescent="0.45">
      <c r="A10" s="1"/>
      <c r="B10" s="93" t="s">
        <v>10</v>
      </c>
      <c r="C10" s="94"/>
      <c r="D10" s="95"/>
      <c r="E10" s="9">
        <f>-E9*'Fane 5. Individuelt eff. krav'!G12</f>
        <v>0</v>
      </c>
      <c r="F10" s="14" t="s">
        <v>3</v>
      </c>
      <c r="G10" s="1"/>
    </row>
    <row r="11" spans="1:7" x14ac:dyDescent="0.45">
      <c r="A11" s="1"/>
      <c r="B11" s="93" t="s">
        <v>26</v>
      </c>
      <c r="C11" s="94"/>
      <c r="D11" s="95"/>
      <c r="E11" s="9">
        <f>-E9*'Fane 14. Nøgletal'!C29</f>
        <v>0</v>
      </c>
      <c r="F11" s="14" t="s">
        <v>3</v>
      </c>
      <c r="G11" s="1"/>
    </row>
    <row r="12" spans="1:7" x14ac:dyDescent="0.45">
      <c r="A12" s="1"/>
      <c r="B12" s="99" t="s">
        <v>105</v>
      </c>
      <c r="C12" s="100"/>
      <c r="D12" s="101"/>
      <c r="E12" s="12">
        <f>SUM(E9:E11)*(1+'Fane 14. Nøgletal'!C14)^2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9" t="s">
        <v>104</v>
      </c>
      <c r="C14" s="100"/>
      <c r="D14" s="100"/>
      <c r="E14" s="100"/>
      <c r="F14" s="101"/>
      <c r="G14" s="1"/>
    </row>
    <row r="15" spans="1:7" ht="15" customHeight="1" x14ac:dyDescent="0.45">
      <c r="A15" s="1"/>
      <c r="B15" s="124" t="s">
        <v>226</v>
      </c>
      <c r="C15" s="125"/>
      <c r="D15" s="126"/>
      <c r="E15" s="9">
        <v>0</v>
      </c>
      <c r="F15" s="14" t="s">
        <v>3</v>
      </c>
      <c r="G15" s="1"/>
    </row>
    <row r="16" spans="1:7" x14ac:dyDescent="0.45">
      <c r="A16" s="1"/>
      <c r="B16" s="93" t="s">
        <v>10</v>
      </c>
      <c r="C16" s="94"/>
      <c r="D16" s="95"/>
      <c r="E16" s="9">
        <f>-E15*'Fane 5. Individuelt eff. krav'!G12</f>
        <v>0</v>
      </c>
      <c r="F16" s="14" t="s">
        <v>3</v>
      </c>
      <c r="G16" s="1"/>
    </row>
    <row r="17" spans="1:7" x14ac:dyDescent="0.45">
      <c r="A17" s="1"/>
      <c r="B17" s="93" t="s">
        <v>26</v>
      </c>
      <c r="C17" s="94"/>
      <c r="D17" s="95"/>
      <c r="E17" s="9">
        <f>-E15*'Fane 14. Nøgletal'!C29</f>
        <v>0</v>
      </c>
      <c r="F17" s="14" t="s">
        <v>3</v>
      </c>
      <c r="G17" s="1"/>
    </row>
    <row r="18" spans="1:7" x14ac:dyDescent="0.45">
      <c r="A18" s="1"/>
      <c r="B18" s="99" t="s">
        <v>106</v>
      </c>
      <c r="C18" s="100"/>
      <c r="D18" s="101"/>
      <c r="E18" s="12">
        <f>SUM(E15:E17)*(1+'Fane 14. Nøgletal'!C14)^3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9" t="s">
        <v>155</v>
      </c>
      <c r="C20" s="100"/>
      <c r="D20" s="100"/>
      <c r="E20" s="100"/>
      <c r="F20" s="101"/>
      <c r="G20" s="1"/>
    </row>
    <row r="21" spans="1:7" ht="15" customHeight="1" x14ac:dyDescent="0.45">
      <c r="A21" s="1"/>
      <c r="B21" s="124" t="s">
        <v>226</v>
      </c>
      <c r="C21" s="125"/>
      <c r="D21" s="126"/>
      <c r="E21" s="9">
        <v>0</v>
      </c>
      <c r="F21" s="14" t="s">
        <v>3</v>
      </c>
      <c r="G21" s="1"/>
    </row>
    <row r="22" spans="1:7" x14ac:dyDescent="0.45">
      <c r="A22" s="1"/>
      <c r="B22" s="93" t="s">
        <v>10</v>
      </c>
      <c r="C22" s="94"/>
      <c r="D22" s="95"/>
      <c r="E22" s="9">
        <f>-E21*'Fane 5. Individuelt eff. krav'!G12</f>
        <v>0</v>
      </c>
      <c r="F22" s="14" t="s">
        <v>3</v>
      </c>
      <c r="G22" s="1"/>
    </row>
    <row r="23" spans="1:7" x14ac:dyDescent="0.45">
      <c r="A23" s="1"/>
      <c r="B23" s="93" t="s">
        <v>26</v>
      </c>
      <c r="C23" s="94"/>
      <c r="D23" s="95"/>
      <c r="E23" s="9">
        <f>-E21*'Fane 14. Nøgletal'!C29</f>
        <v>0</v>
      </c>
      <c r="F23" s="14" t="s">
        <v>3</v>
      </c>
      <c r="G23" s="1"/>
    </row>
    <row r="24" spans="1:7" x14ac:dyDescent="0.45">
      <c r="A24" s="1"/>
      <c r="B24" s="99" t="s">
        <v>156</v>
      </c>
      <c r="C24" s="100"/>
      <c r="D24" s="101"/>
      <c r="E24" s="12">
        <f>SUM(E21:E23)*(1+'Fane 14. Nøgletal'!C14)^4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9" t="s">
        <v>227</v>
      </c>
      <c r="C26" s="100"/>
      <c r="D26" s="100"/>
      <c r="E26" s="100"/>
      <c r="F26" s="101"/>
      <c r="G26" s="1"/>
    </row>
    <row r="27" spans="1:7" ht="15" customHeight="1" x14ac:dyDescent="0.45">
      <c r="A27" s="1"/>
      <c r="B27" s="124" t="s">
        <v>226</v>
      </c>
      <c r="C27" s="125"/>
      <c r="D27" s="126"/>
      <c r="E27" s="9">
        <v>0</v>
      </c>
      <c r="F27" s="14" t="s">
        <v>3</v>
      </c>
      <c r="G27" s="1"/>
    </row>
    <row r="28" spans="1:7" x14ac:dyDescent="0.45">
      <c r="A28" s="1"/>
      <c r="B28" s="93" t="s">
        <v>10</v>
      </c>
      <c r="C28" s="94"/>
      <c r="D28" s="95"/>
      <c r="E28" s="9">
        <f>-E27*'Fane 5. Individuelt eff. krav'!G12</f>
        <v>0</v>
      </c>
      <c r="F28" s="14" t="s">
        <v>3</v>
      </c>
      <c r="G28" s="1"/>
    </row>
    <row r="29" spans="1:7" x14ac:dyDescent="0.45">
      <c r="A29" s="1"/>
      <c r="B29" s="93" t="s">
        <v>26</v>
      </c>
      <c r="C29" s="94"/>
      <c r="D29" s="95"/>
      <c r="E29" s="9">
        <f>-E27*'Fane 14. Nøgletal'!C29</f>
        <v>0</v>
      </c>
      <c r="F29" s="14" t="s">
        <v>3</v>
      </c>
      <c r="G29" s="1"/>
    </row>
    <row r="30" spans="1:7" x14ac:dyDescent="0.45">
      <c r="A30" s="1"/>
      <c r="B30" s="99" t="s">
        <v>228</v>
      </c>
      <c r="C30" s="100"/>
      <c r="D30" s="101"/>
      <c r="E30" s="12">
        <f>SUM(E27:E29)*(1+'Fane 14. Nøgletal'!C14)^5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iiZUzKMIEoTCxhmMTU0IdolAuAbpB4u4zxyjDHMH+1Y7IBDuYBejaS9+2Yk/sCX+Aun2IJ1MDXXHtnV07LaxJQ==" saltValue="7r59X0uAzJtRa72am3SH5g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46484375" style="2" customWidth="1"/>
    <col min="2" max="2" width="36.46484375" style="2" customWidth="1"/>
    <col min="3" max="3" width="15.53125" style="2" customWidth="1"/>
    <col min="4" max="4" width="3.33203125" style="2" customWidth="1"/>
    <col min="5" max="5" width="17.1328125" style="2" customWidth="1"/>
    <col min="6" max="6" width="3.332031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2" t="s">
        <v>157</v>
      </c>
      <c r="C3" s="92"/>
      <c r="D3" s="92"/>
      <c r="E3" s="92"/>
      <c r="F3" s="92"/>
      <c r="G3" s="1"/>
    </row>
    <row r="4" spans="1:7" ht="25.5" customHeight="1" x14ac:dyDescent="0.45">
      <c r="A4" s="1"/>
      <c r="B4" s="92"/>
      <c r="C4" s="92"/>
      <c r="D4" s="92"/>
      <c r="E4" s="92"/>
      <c r="F4" s="9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9" t="s">
        <v>158</v>
      </c>
      <c r="C8" s="100"/>
      <c r="D8" s="100"/>
      <c r="E8" s="100"/>
      <c r="F8" s="101"/>
      <c r="G8" s="1"/>
    </row>
    <row r="9" spans="1:7" ht="15" customHeight="1" x14ac:dyDescent="0.4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eWPvH8kiHUz6tYiWwAkYmo4Enjug2MflzkyZvKzxwx+znZFr0y30MbK1mLXGJnj+YuI/yTGh9K3ecYeG3Q5k9w==" saltValue="mJPC6h8ALA+wfmTrfxawcQ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46484375" style="2" customWidth="1"/>
    <col min="3" max="3" width="15.6640625" style="2" customWidth="1"/>
    <col min="4" max="4" width="3.33203125" style="2" customWidth="1"/>
    <col min="5" max="5" width="18.46484375" style="2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2" t="s">
        <v>133</v>
      </c>
      <c r="C3" s="92"/>
      <c r="D3" s="92"/>
      <c r="E3" s="92"/>
      <c r="F3" s="92"/>
      <c r="G3" s="1"/>
    </row>
    <row r="4" spans="1:7" ht="25.5" customHeight="1" x14ac:dyDescent="0.45">
      <c r="A4" s="1"/>
      <c r="B4" s="92"/>
      <c r="C4" s="92"/>
      <c r="D4" s="92"/>
      <c r="E4" s="92"/>
      <c r="F4" s="9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9" t="s">
        <v>107</v>
      </c>
      <c r="C8" s="100"/>
      <c r="D8" s="100"/>
      <c r="E8" s="100"/>
      <c r="F8" s="101"/>
      <c r="G8" s="1"/>
    </row>
    <row r="9" spans="1:7" ht="15" customHeight="1" x14ac:dyDescent="0.4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9" t="s">
        <v>108</v>
      </c>
      <c r="C14" s="100"/>
      <c r="D14" s="100"/>
      <c r="E14" s="100"/>
      <c r="F14" s="101"/>
      <c r="G14" s="1"/>
    </row>
    <row r="15" spans="1:7" x14ac:dyDescent="0.4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45">
      <c r="A16" s="1"/>
      <c r="B16" s="25" t="s">
        <v>265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4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4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9" t="s">
        <v>169</v>
      </c>
      <c r="C20" s="100"/>
      <c r="D20" s="100"/>
      <c r="E20" s="100"/>
      <c r="F20" s="101"/>
      <c r="G20" s="1"/>
    </row>
    <row r="21" spans="1:7" x14ac:dyDescent="0.4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45">
      <c r="A22" s="1"/>
      <c r="B22" s="25" t="s">
        <v>265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4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4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9" t="s">
        <v>231</v>
      </c>
      <c r="C26" s="100"/>
      <c r="D26" s="100"/>
      <c r="E26" s="100"/>
      <c r="F26" s="101"/>
      <c r="G26" s="1"/>
    </row>
    <row r="27" spans="1:7" x14ac:dyDescent="0.4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45">
      <c r="A28" s="1"/>
      <c r="B28" s="25" t="s">
        <v>265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4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4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vIlRNdW/n9MLuwD9KCRvjE4vSdzcbfLZOn7uCbj+searceCjF2DyltUVxU3Oz9vFMDsAu8A2CufJAZhqddsS2g==" saltValue="iqQtTHROfdxm3Qejw6TmE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46484375" style="2" customWidth="1"/>
    <col min="3" max="3" width="6.33203125" style="2" customWidth="1"/>
    <col min="4" max="4" width="12.332031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92" t="s">
        <v>189</v>
      </c>
      <c r="C3" s="92"/>
      <c r="D3" s="1"/>
    </row>
    <row r="4" spans="1:4" ht="25.5" customHeight="1" x14ac:dyDescent="0.45">
      <c r="A4" s="1"/>
      <c r="B4" s="92"/>
      <c r="C4" s="92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8" t="s">
        <v>15</v>
      </c>
      <c r="C8" s="20"/>
      <c r="D8" s="1"/>
    </row>
    <row r="9" spans="1:4" x14ac:dyDescent="0.45">
      <c r="A9" s="1"/>
      <c r="B9" s="64" t="s">
        <v>137</v>
      </c>
      <c r="C9" s="26">
        <v>1.2699999999999999E-2</v>
      </c>
      <c r="D9" s="1"/>
    </row>
    <row r="10" spans="1:4" x14ac:dyDescent="0.45">
      <c r="A10" s="1"/>
      <c r="B10" s="64" t="s">
        <v>138</v>
      </c>
      <c r="C10" s="26">
        <v>1.7500000000000002E-2</v>
      </c>
      <c r="D10" s="1"/>
    </row>
    <row r="11" spans="1:4" x14ac:dyDescent="0.45">
      <c r="A11" s="1"/>
      <c r="B11" s="64" t="s">
        <v>24</v>
      </c>
      <c r="C11" s="26">
        <v>1.6899999999999998E-2</v>
      </c>
      <c r="D11" s="1"/>
    </row>
    <row r="12" spans="1:4" x14ac:dyDescent="0.45">
      <c r="A12" s="1"/>
      <c r="B12" s="39" t="s">
        <v>254</v>
      </c>
      <c r="C12" s="40">
        <v>1.9699999999999999E-2</v>
      </c>
      <c r="D12" s="1"/>
    </row>
    <row r="13" spans="1:4" x14ac:dyDescent="0.45">
      <c r="A13" s="1"/>
      <c r="B13" s="39" t="s">
        <v>162</v>
      </c>
      <c r="C13" s="40">
        <v>1.2200000000000001E-2</v>
      </c>
      <c r="D13" s="1"/>
    </row>
    <row r="14" spans="1:4" x14ac:dyDescent="0.45">
      <c r="A14" s="1"/>
      <c r="B14" s="64" t="s">
        <v>253</v>
      </c>
      <c r="C14" s="50">
        <v>3.3E-3</v>
      </c>
      <c r="D14" s="1"/>
    </row>
    <row r="15" spans="1:4" x14ac:dyDescent="0.45">
      <c r="A15" s="1"/>
      <c r="B15" s="38"/>
      <c r="C15" s="20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38" t="s">
        <v>121</v>
      </c>
      <c r="C18" s="20"/>
      <c r="D18" s="1"/>
    </row>
    <row r="19" spans="1:4" x14ac:dyDescent="0.45">
      <c r="A19" s="1"/>
      <c r="B19" s="64" t="s">
        <v>139</v>
      </c>
      <c r="C19" s="23">
        <v>9.1000000000000004E-3</v>
      </c>
      <c r="D19" s="1"/>
    </row>
    <row r="20" spans="1:4" x14ac:dyDescent="0.45">
      <c r="A20" s="1"/>
      <c r="B20" s="64" t="s">
        <v>190</v>
      </c>
      <c r="C20" s="23">
        <v>1.77E-2</v>
      </c>
      <c r="D20" s="1"/>
    </row>
    <row r="21" spans="1:4" x14ac:dyDescent="0.45">
      <c r="A21" s="1"/>
      <c r="B21" s="64" t="s">
        <v>191</v>
      </c>
      <c r="C21" s="23">
        <v>8.6999999999999994E-3</v>
      </c>
      <c r="D21" s="1"/>
    </row>
    <row r="22" spans="1:4" x14ac:dyDescent="0.45">
      <c r="A22" s="1"/>
      <c r="B22" s="64" t="s">
        <v>140</v>
      </c>
      <c r="C22" s="41">
        <v>2.8400000000000002E-2</v>
      </c>
      <c r="D22" s="1"/>
    </row>
    <row r="23" spans="1:4" x14ac:dyDescent="0.45">
      <c r="A23" s="1"/>
      <c r="B23" s="64" t="s">
        <v>192</v>
      </c>
      <c r="C23" s="41">
        <v>2.75E-2</v>
      </c>
      <c r="D23" s="1"/>
    </row>
    <row r="24" spans="1:4" x14ac:dyDescent="0.45">
      <c r="A24" s="1"/>
      <c r="B24" s="64" t="s">
        <v>193</v>
      </c>
      <c r="C24" s="41">
        <v>1.4800000000000001E-2</v>
      </c>
      <c r="D24" s="1"/>
    </row>
    <row r="25" spans="1:4" x14ac:dyDescent="0.45">
      <c r="A25" s="1"/>
      <c r="B25" s="38"/>
      <c r="C25" s="20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38" t="s">
        <v>122</v>
      </c>
      <c r="C28" s="20"/>
      <c r="D28" s="1"/>
    </row>
    <row r="29" spans="1:4" x14ac:dyDescent="0.45">
      <c r="A29" s="1"/>
      <c r="B29" s="64" t="s">
        <v>141</v>
      </c>
      <c r="C29" s="26">
        <v>0.02</v>
      </c>
      <c r="D29" s="1"/>
    </row>
    <row r="30" spans="1:4" x14ac:dyDescent="0.45">
      <c r="A30" s="1"/>
      <c r="B30" s="38"/>
      <c r="C30" s="20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  <row r="51" spans="1:4" x14ac:dyDescent="0.45">
      <c r="A51" s="1"/>
      <c r="B51" s="1"/>
      <c r="C51" s="1"/>
      <c r="D51" s="1"/>
    </row>
  </sheetData>
  <sheetProtection algorithmName="SHA-512" hashValue="QFzuxDoPAGhIOVWyiRTIiVH7uypA1HXy8YY305PhYUgf152OxH9cVBOWjuUPZZ3RP33HxR8rF2PRjpTcmqf7sg==" saltValue="/KUopNzIeVVNhKQEQyfzGQ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showWhiteSpace="0" view="pageLayout" zoomScaleNormal="100" workbookViewId="0"/>
  </sheetViews>
  <sheetFormatPr defaultColWidth="9.1328125" defaultRowHeight="14.25" x14ac:dyDescent="0.45"/>
  <cols>
    <col min="1" max="1" width="6.53125" style="2" customWidth="1"/>
    <col min="2" max="2" width="58.53125" style="2" customWidth="1"/>
    <col min="3" max="3" width="12.53125" style="2" customWidth="1"/>
    <col min="4" max="4" width="2.86328125" style="2" bestFit="1" customWidth="1"/>
    <col min="5" max="5" width="6.33203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7" t="s">
        <v>194</v>
      </c>
      <c r="C3" s="87"/>
      <c r="D3" s="87"/>
      <c r="E3" s="1"/>
    </row>
    <row r="4" spans="1:5" ht="15" customHeight="1" x14ac:dyDescent="0.45">
      <c r="A4" s="1"/>
      <c r="B4" s="87"/>
      <c r="C4" s="87"/>
      <c r="D4" s="87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x14ac:dyDescent="0.45">
      <c r="A9" s="1"/>
      <c r="B9" s="33" t="s">
        <v>260</v>
      </c>
      <c r="C9" s="7">
        <f>'Fane 3. Omkostninger i ØR2021'!E20</f>
        <v>49328880.015716493</v>
      </c>
      <c r="D9" s="8" t="s">
        <v>3</v>
      </c>
      <c r="E9" s="1"/>
    </row>
    <row r="10" spans="1:5" ht="17.100000000000001" customHeight="1" x14ac:dyDescent="0.45">
      <c r="A10" s="1"/>
      <c r="B10" s="53" t="s">
        <v>43</v>
      </c>
      <c r="C10" s="7">
        <f>'Fane 10.1. Varige tillæg'!C16</f>
        <v>220834.35640000002</v>
      </c>
      <c r="D10" s="8" t="s">
        <v>3</v>
      </c>
      <c r="E10" s="1"/>
    </row>
    <row r="11" spans="1:5" ht="17.100000000000001" customHeight="1" x14ac:dyDescent="0.45">
      <c r="A11" s="1"/>
      <c r="B11" s="53" t="s">
        <v>44</v>
      </c>
      <c r="C11" s="9">
        <f>'Fane 10.1. Varige tillæg'!E16</f>
        <v>1407216.5404000001</v>
      </c>
      <c r="D11" s="8" t="s">
        <v>3</v>
      </c>
      <c r="E11" s="1"/>
    </row>
    <row r="12" spans="1:5" ht="17.100000000000001" customHeight="1" x14ac:dyDescent="0.45">
      <c r="A12" s="1"/>
      <c r="B12" s="53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53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53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53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53" t="s">
        <v>20</v>
      </c>
      <c r="C16" s="9">
        <f>SUM(C9:C15)*'Fane 14. Nøgletal'!C14</f>
        <v>168157.87201130443</v>
      </c>
      <c r="D16" s="8" t="s">
        <v>3</v>
      </c>
      <c r="E16" s="1"/>
    </row>
    <row r="17" spans="1:5" ht="17.100000000000001" customHeight="1" x14ac:dyDescent="0.45">
      <c r="A17" s="1"/>
      <c r="B17" s="53" t="s">
        <v>10</v>
      </c>
      <c r="C17" s="9">
        <f>-SUM(C9:C16)*'Fane 5. Individuelt eff. krav'!G12</f>
        <v>-795932.99756751047</v>
      </c>
      <c r="D17" s="8" t="s">
        <v>3</v>
      </c>
      <c r="E17" s="1"/>
    </row>
    <row r="18" spans="1:5" ht="17.100000000000001" customHeight="1" x14ac:dyDescent="0.45">
      <c r="A18" s="1"/>
      <c r="B18" s="53" t="s">
        <v>26</v>
      </c>
      <c r="C18" s="9">
        <f>-'Fane 4.1. Gen. krav - drift'!G40</f>
        <v>-150602.38165165362</v>
      </c>
      <c r="D18" s="8" t="s">
        <v>3</v>
      </c>
      <c r="E18" s="1"/>
    </row>
    <row r="19" spans="1:5" ht="17.100000000000001" customHeight="1" x14ac:dyDescent="0.45">
      <c r="A19" s="1"/>
      <c r="B19" s="53" t="s">
        <v>27</v>
      </c>
      <c r="C19" s="9">
        <f>-'Fane 4.2. Gen. krav - anlæg'!G37</f>
        <v>-662808.97232356702</v>
      </c>
      <c r="D19" s="8" t="s">
        <v>3</v>
      </c>
      <c r="E19" s="1"/>
    </row>
    <row r="20" spans="1:5" ht="17.100000000000001" customHeight="1" x14ac:dyDescent="0.45">
      <c r="A20" s="1"/>
      <c r="B20" s="59" t="s">
        <v>22</v>
      </c>
      <c r="C20" s="10">
        <f>SUM(C9:C19)</f>
        <v>49515744.43298506</v>
      </c>
      <c r="D20" s="11" t="s">
        <v>3</v>
      </c>
      <c r="E20" s="1"/>
    </row>
    <row r="21" spans="1:5" ht="15" customHeight="1" x14ac:dyDescent="0.45">
      <c r="A21" s="1"/>
      <c r="B21" s="38" t="s">
        <v>13</v>
      </c>
      <c r="C21" s="32"/>
      <c r="D21" s="20"/>
      <c r="E21" s="1"/>
    </row>
    <row r="22" spans="1:5" ht="15" customHeight="1" x14ac:dyDescent="0.45">
      <c r="A22" s="1"/>
      <c r="B22" s="36" t="s">
        <v>13</v>
      </c>
      <c r="C22" s="10">
        <f>'Fane 6. Ikke-påvirkelige omk.'!C14+'Fane 6. Ikke-påvirkelige omk.'!C18+'Fane 6. Ikke-påvirkelige omk.'!C26</f>
        <v>18071885.623737112</v>
      </c>
      <c r="D22" s="11" t="s">
        <v>3</v>
      </c>
      <c r="E22" s="1"/>
    </row>
    <row r="23" spans="1:5" ht="15" customHeight="1" x14ac:dyDescent="0.45">
      <c r="A23" s="1"/>
      <c r="B23" s="38" t="s">
        <v>94</v>
      </c>
      <c r="C23" s="32"/>
      <c r="D23" s="20"/>
      <c r="E23" s="1"/>
    </row>
    <row r="24" spans="1:5" ht="15" customHeight="1" x14ac:dyDescent="0.45">
      <c r="A24" s="1"/>
      <c r="B24" s="59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45">
      <c r="A25" s="1"/>
      <c r="B25" s="38" t="s">
        <v>93</v>
      </c>
      <c r="C25" s="32"/>
      <c r="D25" s="20"/>
      <c r="E25" s="1"/>
    </row>
    <row r="26" spans="1:5" ht="15" customHeight="1" x14ac:dyDescent="0.45">
      <c r="A26" s="1"/>
      <c r="B26" s="53" t="s">
        <v>89</v>
      </c>
      <c r="C26" s="9">
        <f>'Fane 10.2. Engangstillæg'!C15</f>
        <v>648580.89571980294</v>
      </c>
      <c r="D26" s="8" t="s">
        <v>3</v>
      </c>
      <c r="E26" s="1"/>
    </row>
    <row r="27" spans="1:5" ht="15" customHeight="1" x14ac:dyDescent="0.45">
      <c r="A27" s="1"/>
      <c r="B27" s="53" t="s">
        <v>90</v>
      </c>
      <c r="C27" s="9">
        <f>'Fane 10.2. Engangstillæg'!E15</f>
        <v>0</v>
      </c>
      <c r="D27" s="8" t="s">
        <v>3</v>
      </c>
      <c r="E27" s="1"/>
    </row>
    <row r="28" spans="1:5" x14ac:dyDescent="0.45">
      <c r="A28" s="1"/>
      <c r="B28" s="59" t="s">
        <v>95</v>
      </c>
      <c r="C28" s="10">
        <f>SUM(C26:C27)</f>
        <v>648580.89571980294</v>
      </c>
      <c r="D28" s="11" t="s">
        <v>3</v>
      </c>
      <c r="E28" s="1"/>
    </row>
    <row r="29" spans="1:5" x14ac:dyDescent="0.45">
      <c r="A29" s="1"/>
      <c r="B29" s="38" t="s">
        <v>187</v>
      </c>
      <c r="C29" s="32"/>
      <c r="D29" s="20"/>
      <c r="E29" s="1"/>
    </row>
    <row r="30" spans="1:5" x14ac:dyDescent="0.45">
      <c r="A30" s="1"/>
      <c r="B30" s="36" t="s">
        <v>287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45">
      <c r="A31" s="1"/>
      <c r="B31" s="38" t="s">
        <v>195</v>
      </c>
      <c r="C31" s="32"/>
      <c r="D31" s="20"/>
      <c r="E31" s="1"/>
    </row>
    <row r="32" spans="1:5" x14ac:dyDescent="0.45">
      <c r="A32" s="1"/>
      <c r="B32" s="36" t="s">
        <v>195</v>
      </c>
      <c r="C32" s="10">
        <f>'Fane 8. Korrektion af ØR2020'!E17</f>
        <v>0</v>
      </c>
      <c r="D32" s="11" t="s">
        <v>3</v>
      </c>
      <c r="E32" s="1"/>
    </row>
    <row r="33" spans="1:5" x14ac:dyDescent="0.45">
      <c r="A33" s="1"/>
      <c r="B33" s="35" t="s">
        <v>258</v>
      </c>
      <c r="C33" s="32"/>
      <c r="D33" s="20"/>
      <c r="E33" s="1"/>
    </row>
    <row r="34" spans="1:5" x14ac:dyDescent="0.45">
      <c r="A34" s="1"/>
      <c r="B34" s="65" t="s">
        <v>259</v>
      </c>
      <c r="C34" s="10">
        <v>0</v>
      </c>
      <c r="D34" s="11" t="s">
        <v>3</v>
      </c>
      <c r="E34" s="1"/>
    </row>
    <row r="35" spans="1:5" x14ac:dyDescent="0.45">
      <c r="A35" s="1"/>
      <c r="B35" s="38" t="s">
        <v>32</v>
      </c>
      <c r="C35" s="34">
        <f>SUM(C32,C30,C28,C24,C22,C20)</f>
        <v>68236210.952441975</v>
      </c>
      <c r="D35" s="35" t="s">
        <v>3</v>
      </c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0BzsQiNYumgLKHHMBKGT8CmWUDryKag0rK3hg6HcQTlM0itRV7oMuqUmaAE+5woGR2zNeBoec99KBRrWMlcOaA==" saltValue="w1fqvwHnE7dhv3qjZ/r3N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0.86328125" style="2" customWidth="1"/>
    <col min="3" max="3" width="12.33203125" style="2" bestFit="1" customWidth="1"/>
    <col min="4" max="4" width="3.332031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7" t="s">
        <v>196</v>
      </c>
      <c r="C3" s="87"/>
      <c r="D3" s="87"/>
      <c r="E3" s="1"/>
    </row>
    <row r="4" spans="1:5" ht="15" customHeight="1" x14ac:dyDescent="0.45">
      <c r="A4" s="1"/>
      <c r="B4" s="87"/>
      <c r="C4" s="87"/>
      <c r="D4" s="87"/>
      <c r="E4" s="1"/>
    </row>
    <row r="5" spans="1:5" x14ac:dyDescent="0.45">
      <c r="A5" s="1"/>
      <c r="B5" s="88" t="s">
        <v>23</v>
      </c>
      <c r="C5" s="88"/>
      <c r="D5" s="88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151</v>
      </c>
      <c r="C9" s="7">
        <f>'Fane 2.1. Økonomisk ramme 2022'!C20</f>
        <v>49515744.43298506</v>
      </c>
      <c r="D9" s="8" t="s">
        <v>3</v>
      </c>
      <c r="E9" s="1"/>
    </row>
    <row r="10" spans="1:5" ht="15" customHeight="1" x14ac:dyDescent="0.45">
      <c r="A10" s="1"/>
      <c r="B10" s="53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45">
      <c r="A11" s="1"/>
      <c r="B11" s="53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163401.95662885069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-773422.06815779873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drift'!G47</f>
        <v>-148077.38212088199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anlæg'!G44</f>
        <v>-655154.29755163786</v>
      </c>
      <c r="D15" s="8" t="s">
        <v>3</v>
      </c>
      <c r="E15" s="1"/>
    </row>
    <row r="16" spans="1:5" ht="15" customHeight="1" x14ac:dyDescent="0.45">
      <c r="A16" s="1"/>
      <c r="B16" s="31" t="s">
        <v>22</v>
      </c>
      <c r="C16" s="10">
        <f>SUM(C9:C15)</f>
        <v>48102492.641783588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omk.'!C14*(1+'Fane 14. Nøgletal'!C14)+'Fane 6. Ikke-påvirkelige omk.'!C19+'Fane 6. Ikke-påvirkelige omk.'!C27</f>
        <v>18131522.846295446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9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3" t="s">
        <v>89</v>
      </c>
      <c r="C22" s="9">
        <f>'Fane 10.2. Engangstillæg'!C23</f>
        <v>0</v>
      </c>
      <c r="D22" s="8" t="s">
        <v>3</v>
      </c>
      <c r="E22" s="1"/>
    </row>
    <row r="23" spans="1:5" ht="15" customHeight="1" x14ac:dyDescent="0.45">
      <c r="A23" s="1"/>
      <c r="B23" s="53" t="s">
        <v>90</v>
      </c>
      <c r="C23" s="9">
        <f>'Fane 10.2. Engangstillæg'!E23</f>
        <v>0</v>
      </c>
      <c r="D23" s="8" t="s">
        <v>3</v>
      </c>
      <c r="E23" s="1"/>
    </row>
    <row r="24" spans="1:5" ht="15" customHeight="1" x14ac:dyDescent="0.4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187</v>
      </c>
      <c r="C25" s="32"/>
      <c r="D25" s="20"/>
      <c r="E25" s="1"/>
    </row>
    <row r="26" spans="1:5" ht="15" customHeight="1" x14ac:dyDescent="0.45">
      <c r="A26" s="1"/>
      <c r="B26" s="36" t="s">
        <v>287</v>
      </c>
      <c r="C26" s="10">
        <f>'Fane 7. Kontrol af ØR2020'!E34</f>
        <v>0</v>
      </c>
      <c r="D26" s="11" t="s">
        <v>3</v>
      </c>
      <c r="E26" s="1"/>
    </row>
    <row r="27" spans="1:5" x14ac:dyDescent="0.45">
      <c r="A27" s="1"/>
      <c r="B27" s="35" t="s">
        <v>258</v>
      </c>
      <c r="C27" s="32"/>
      <c r="D27" s="20"/>
      <c r="E27" s="1"/>
    </row>
    <row r="28" spans="1:5" x14ac:dyDescent="0.45">
      <c r="A28" s="1"/>
      <c r="B28" s="65" t="s">
        <v>259</v>
      </c>
      <c r="C28" s="10">
        <v>0</v>
      </c>
      <c r="D28" s="11" t="s">
        <v>3</v>
      </c>
      <c r="E28" s="1"/>
    </row>
    <row r="29" spans="1:5" x14ac:dyDescent="0.45">
      <c r="A29" s="1"/>
      <c r="B29" s="38" t="s">
        <v>102</v>
      </c>
      <c r="C29" s="12">
        <f>SUM(C16,C18,C20,C24,C26,C28)</f>
        <v>66234015.488079034</v>
      </c>
      <c r="D29" s="13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55Nm9JpcJLt8u4nuxCd+H9+Pleak8qhChMsLZFv96JZTZUn5Trrb8F33zYb7jkX+j9k5wSO6itG0sOkmrvKrzQ==" saltValue="EQtlCNSxlySseHF5tISMR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1328125" style="2" customWidth="1"/>
    <col min="3" max="3" width="10.86328125" style="2" bestFit="1" customWidth="1"/>
    <col min="4" max="4" width="3.332031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7" t="s">
        <v>197</v>
      </c>
      <c r="C3" s="87"/>
      <c r="D3" s="87"/>
      <c r="E3" s="1"/>
    </row>
    <row r="4" spans="1:5" ht="15" customHeight="1" x14ac:dyDescent="0.45">
      <c r="A4" s="1"/>
      <c r="B4" s="87"/>
      <c r="C4" s="87"/>
      <c r="D4" s="87"/>
      <c r="E4" s="1"/>
    </row>
    <row r="5" spans="1:5" x14ac:dyDescent="0.45">
      <c r="A5" s="1"/>
      <c r="B5" s="88" t="s">
        <v>23</v>
      </c>
      <c r="C5" s="88"/>
      <c r="D5" s="88"/>
      <c r="E5" s="1"/>
    </row>
    <row r="6" spans="1:5" x14ac:dyDescent="0.45">
      <c r="A6" s="1"/>
      <c r="B6" s="51"/>
      <c r="C6" s="51"/>
      <c r="D6" s="5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152</v>
      </c>
      <c r="C9" s="7">
        <f>'Fane 2.2. Økonomisk ramme 2023'!C16</f>
        <v>48102492.641783588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158738.22571788583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-751347.47076063987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drift'!G55</f>
        <v>-145594.71673224331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anlæg'!G55</f>
        <v>-647588.02539390163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46716700.654614687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omk.'!C14*(1+'Fane 14. Nøgletal'!C14)^2+'Fane 6. Ikke-påvirkelige omk.'!C20+'Fane 6. Ikke-påvirkelige omk.'!C28</f>
        <v>18191356.871688221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9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3" t="s">
        <v>89</v>
      </c>
      <c r="C22" s="9">
        <f>'Fane 10.2. Engangstillæg'!C31</f>
        <v>0</v>
      </c>
      <c r="D22" s="8" t="s">
        <v>3</v>
      </c>
      <c r="E22" s="1"/>
    </row>
    <row r="23" spans="1:5" ht="15" customHeight="1" x14ac:dyDescent="0.45">
      <c r="A23" s="1"/>
      <c r="B23" s="53" t="s">
        <v>90</v>
      </c>
      <c r="C23" s="9">
        <f>'Fane 10.2. Engangstillæg'!E31</f>
        <v>0</v>
      </c>
      <c r="D23" s="8" t="s">
        <v>3</v>
      </c>
      <c r="E23" s="1"/>
    </row>
    <row r="24" spans="1:5" ht="15" customHeight="1" x14ac:dyDescent="0.4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5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153</v>
      </c>
      <c r="C27" s="12">
        <f>SUM(C16,C18,C20,C24,C26)</f>
        <v>64908057.526302904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9cRpW+4gJv5VHAlE0tugH8/+Z+a1nHyD6x0CAZdTLUS0OG3udFa+1HAefaGGD4ZU61J/rXwvku8c5QlGR8K8AQ==" saltValue="cq4J2tHgavndTvSZKoxdw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53125" style="2" customWidth="1"/>
    <col min="3" max="3" width="10.86328125" style="2" bestFit="1" customWidth="1"/>
    <col min="4" max="4" width="3.332031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7" t="s">
        <v>198</v>
      </c>
      <c r="C3" s="87"/>
      <c r="D3" s="87"/>
      <c r="E3" s="1"/>
    </row>
    <row r="4" spans="1:5" ht="15" customHeight="1" x14ac:dyDescent="0.45">
      <c r="A4" s="1"/>
      <c r="B4" s="87"/>
      <c r="C4" s="87"/>
      <c r="D4" s="87"/>
      <c r="E4" s="1"/>
    </row>
    <row r="5" spans="1:5" x14ac:dyDescent="0.45">
      <c r="A5" s="1"/>
      <c r="B5" s="88" t="s">
        <v>23</v>
      </c>
      <c r="C5" s="88"/>
      <c r="D5" s="88"/>
      <c r="E5" s="1"/>
    </row>
    <row r="6" spans="1:5" x14ac:dyDescent="0.45">
      <c r="A6" s="1"/>
      <c r="B6" s="51"/>
      <c r="C6" s="51"/>
      <c r="D6" s="5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199</v>
      </c>
      <c r="C9" s="7">
        <f>'Fane 2.3. Økonomisk ramme 2024'!C16</f>
        <v>46716700.654614687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154165.11216022845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-729701.78781623289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drift'!G61</f>
        <v>-143153.67571151053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anlæg'!G61</f>
        <v>-640109.13490271161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45357901.16834446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omk.'!C14*(1+'Fane 14. Nøgletal'!C14)^3+'Fane 6. Ikke-påvirkelige omk.'!C21+'Fane 6. Ikke-påvirkelige omk.'!C29</f>
        <v>18251388.349364795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9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3" t="s">
        <v>89</v>
      </c>
      <c r="C22" s="9">
        <f>'Fane 10.2. Engangstillæg'!C39</f>
        <v>0</v>
      </c>
      <c r="D22" s="8" t="s">
        <v>3</v>
      </c>
      <c r="E22" s="1"/>
    </row>
    <row r="23" spans="1:5" ht="15" customHeight="1" x14ac:dyDescent="0.45">
      <c r="A23" s="1"/>
      <c r="B23" s="53" t="s">
        <v>90</v>
      </c>
      <c r="C23" s="9">
        <f>'Fane 10.2. Engangstillæg'!E39</f>
        <v>0</v>
      </c>
      <c r="D23" s="8" t="s">
        <v>3</v>
      </c>
      <c r="E23" s="1"/>
    </row>
    <row r="24" spans="1:5" ht="15" customHeight="1" x14ac:dyDescent="0.4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5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200</v>
      </c>
      <c r="C27" s="12">
        <f>SUM(C16,C18,C20,C24,C26)</f>
        <v>63609289.517709255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vgzT47xQ8t4Jo9VVKkjt4wMkAXW63O56ZlYLB0XTT8RoZzZH7V/Q0u0y1flPfxsqsuYGuhgfAzfPNzPR6YBcdA==" saltValue="m+oeDbZvcl3yT82XRyTkt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2" width="12.33203125" style="2" customWidth="1"/>
    <col min="3" max="3" width="12" style="2" customWidth="1"/>
    <col min="4" max="4" width="31.6640625" style="2" customWidth="1"/>
    <col min="5" max="5" width="10.86328125" style="2" customWidth="1"/>
    <col min="6" max="6" width="3.531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2" t="s">
        <v>250</v>
      </c>
      <c r="C3" s="92"/>
      <c r="D3" s="92"/>
      <c r="E3" s="92"/>
      <c r="F3" s="92"/>
      <c r="G3" s="1"/>
    </row>
    <row r="4" spans="1:7" ht="29.25" customHeight="1" x14ac:dyDescent="0.45">
      <c r="A4" s="1"/>
      <c r="B4" s="92"/>
      <c r="C4" s="92"/>
      <c r="D4" s="92"/>
      <c r="E4" s="92"/>
      <c r="F4" s="9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278</v>
      </c>
      <c r="C8" s="32"/>
      <c r="D8" s="32"/>
      <c r="E8" s="32"/>
      <c r="F8" s="20"/>
      <c r="G8" s="1"/>
    </row>
    <row r="9" spans="1:7" ht="15" customHeight="1" x14ac:dyDescent="0.45">
      <c r="A9" s="1"/>
      <c r="B9" s="89" t="s">
        <v>25</v>
      </c>
      <c r="C9" s="90"/>
      <c r="D9" s="91"/>
      <c r="E9" s="7">
        <v>49372294.729877874</v>
      </c>
      <c r="F9" s="8" t="s">
        <v>3</v>
      </c>
      <c r="G9" s="1"/>
    </row>
    <row r="10" spans="1:7" ht="15" customHeight="1" x14ac:dyDescent="0.45">
      <c r="A10" s="1"/>
      <c r="B10" s="93" t="s">
        <v>43</v>
      </c>
      <c r="C10" s="94"/>
      <c r="D10" s="95"/>
      <c r="E10" s="7">
        <v>129493.78259999999</v>
      </c>
      <c r="F10" s="8" t="s">
        <v>3</v>
      </c>
      <c r="G10" s="1"/>
    </row>
    <row r="11" spans="1:7" ht="15" customHeight="1" x14ac:dyDescent="0.45">
      <c r="A11" s="1"/>
      <c r="B11" s="93" t="s">
        <v>44</v>
      </c>
      <c r="C11" s="94"/>
      <c r="D11" s="95"/>
      <c r="E11" s="9">
        <v>655966.33199999994</v>
      </c>
      <c r="F11" s="8" t="s">
        <v>3</v>
      </c>
      <c r="G11" s="1"/>
    </row>
    <row r="12" spans="1:7" ht="15" customHeight="1" x14ac:dyDescent="0.45">
      <c r="A12" s="1"/>
      <c r="B12" s="93" t="s">
        <v>29</v>
      </c>
      <c r="C12" s="94"/>
      <c r="D12" s="95"/>
      <c r="E12" s="9">
        <v>0</v>
      </c>
      <c r="F12" s="8" t="s">
        <v>3</v>
      </c>
      <c r="G12" s="1"/>
    </row>
    <row r="13" spans="1:7" ht="15" customHeight="1" x14ac:dyDescent="0.45">
      <c r="A13" s="1"/>
      <c r="B13" s="89" t="s">
        <v>28</v>
      </c>
      <c r="C13" s="90"/>
      <c r="D13" s="91"/>
      <c r="E13" s="9">
        <v>0</v>
      </c>
      <c r="F13" s="8" t="s">
        <v>3</v>
      </c>
      <c r="G13" s="1"/>
    </row>
    <row r="14" spans="1:7" ht="15" customHeight="1" x14ac:dyDescent="0.45">
      <c r="A14" s="1"/>
      <c r="B14" s="89" t="s">
        <v>31</v>
      </c>
      <c r="C14" s="90"/>
      <c r="D14" s="91"/>
      <c r="E14" s="9">
        <v>0</v>
      </c>
      <c r="F14" s="8" t="s">
        <v>3</v>
      </c>
      <c r="G14" s="1"/>
    </row>
    <row r="15" spans="1:7" ht="15" customHeight="1" x14ac:dyDescent="0.45">
      <c r="A15" s="1"/>
      <c r="B15" s="89" t="s">
        <v>30</v>
      </c>
      <c r="C15" s="90"/>
      <c r="D15" s="91"/>
      <c r="E15" s="9">
        <v>0</v>
      </c>
      <c r="F15" s="8" t="s">
        <v>3</v>
      </c>
      <c r="G15" s="1"/>
    </row>
    <row r="16" spans="1:7" ht="15" customHeight="1" x14ac:dyDescent="0.45">
      <c r="A16" s="1"/>
      <c r="B16" s="89" t="s">
        <v>20</v>
      </c>
      <c r="C16" s="90"/>
      <c r="D16" s="91"/>
      <c r="E16" s="9">
        <v>982216.81957671407</v>
      </c>
      <c r="F16" s="8" t="s">
        <v>3</v>
      </c>
      <c r="G16" s="1"/>
    </row>
    <row r="17" spans="1:7" ht="15" customHeight="1" x14ac:dyDescent="0.45">
      <c r="A17" s="1"/>
      <c r="B17" s="89" t="s">
        <v>10</v>
      </c>
      <c r="C17" s="90"/>
      <c r="D17" s="91"/>
      <c r="E17" s="9">
        <v>-399428.06889493554</v>
      </c>
      <c r="F17" s="8" t="s">
        <v>3</v>
      </c>
      <c r="G17" s="1"/>
    </row>
    <row r="18" spans="1:7" ht="15" customHeight="1" x14ac:dyDescent="0.45">
      <c r="A18" s="1"/>
      <c r="B18" s="89" t="s">
        <v>26</v>
      </c>
      <c r="C18" s="90"/>
      <c r="D18" s="91"/>
      <c r="E18" s="9">
        <f>-'Fane 4.1. Gen. krav - drift'!G34</f>
        <v>-148663.61360177863</v>
      </c>
      <c r="F18" s="8" t="s">
        <v>3</v>
      </c>
      <c r="G18" s="1"/>
    </row>
    <row r="19" spans="1:7" ht="15" customHeight="1" x14ac:dyDescent="0.45">
      <c r="A19" s="1"/>
      <c r="B19" s="89" t="s">
        <v>27</v>
      </c>
      <c r="C19" s="90"/>
      <c r="D19" s="91"/>
      <c r="E19" s="9">
        <f>-'Fane 4.2. Gen. krav - anlæg'!G31</f>
        <v>-1262999.9658413741</v>
      </c>
      <c r="F19" s="8" t="s">
        <v>3</v>
      </c>
      <c r="G19" s="1"/>
    </row>
    <row r="20" spans="1:7" ht="15" customHeight="1" x14ac:dyDescent="0.45">
      <c r="A20" s="1"/>
      <c r="B20" s="59" t="s">
        <v>22</v>
      </c>
      <c r="C20" s="60"/>
      <c r="D20" s="66"/>
      <c r="E20" s="10">
        <f>SUM(E9:E19)</f>
        <v>49328880.015716493</v>
      </c>
      <c r="F20" s="11" t="s">
        <v>3</v>
      </c>
      <c r="G20" s="1"/>
    </row>
    <row r="21" spans="1:7" ht="15" customHeight="1" x14ac:dyDescent="0.4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45">
      <c r="A22" s="1"/>
      <c r="B22" s="96" t="s">
        <v>13</v>
      </c>
      <c r="C22" s="97"/>
      <c r="D22" s="98"/>
      <c r="E22" s="10">
        <v>18035507.1908466</v>
      </c>
      <c r="F22" s="11" t="s">
        <v>3</v>
      </c>
      <c r="G22" s="1"/>
    </row>
    <row r="23" spans="1:7" ht="15" customHeight="1" x14ac:dyDescent="0.45">
      <c r="A23" s="1"/>
      <c r="B23" s="99" t="s">
        <v>94</v>
      </c>
      <c r="C23" s="100"/>
      <c r="D23" s="101"/>
      <c r="E23" s="32"/>
      <c r="F23" s="32"/>
      <c r="G23" s="1"/>
    </row>
    <row r="24" spans="1:7" ht="15" customHeight="1" x14ac:dyDescent="0.45">
      <c r="A24" s="1"/>
      <c r="B24" s="59" t="s">
        <v>94</v>
      </c>
      <c r="C24" s="43"/>
      <c r="D24" s="44"/>
      <c r="E24" s="10">
        <v>0</v>
      </c>
      <c r="F24" s="11" t="s">
        <v>3</v>
      </c>
      <c r="G24" s="1"/>
    </row>
    <row r="25" spans="1:7" x14ac:dyDescent="0.4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45">
      <c r="A26" s="1"/>
      <c r="B26" s="93" t="s">
        <v>89</v>
      </c>
      <c r="C26" s="94"/>
      <c r="D26" s="95"/>
      <c r="E26" s="9">
        <v>0</v>
      </c>
      <c r="F26" s="8" t="s">
        <v>3</v>
      </c>
      <c r="G26" s="1"/>
    </row>
    <row r="27" spans="1:7" ht="15" customHeight="1" x14ac:dyDescent="0.45">
      <c r="A27" s="1"/>
      <c r="B27" s="93" t="s">
        <v>90</v>
      </c>
      <c r="C27" s="94"/>
      <c r="D27" s="94"/>
      <c r="E27" s="9">
        <v>0</v>
      </c>
      <c r="F27" s="8" t="s">
        <v>3</v>
      </c>
      <c r="G27" s="1"/>
    </row>
    <row r="28" spans="1:7" ht="15" customHeight="1" x14ac:dyDescent="0.45">
      <c r="A28" s="1"/>
      <c r="B28" s="102" t="s">
        <v>95</v>
      </c>
      <c r="C28" s="103"/>
      <c r="D28" s="103"/>
      <c r="E28" s="45">
        <v>0</v>
      </c>
      <c r="F28" s="11" t="s">
        <v>3</v>
      </c>
      <c r="G28" s="1"/>
    </row>
    <row r="29" spans="1:7" ht="15" customHeight="1" x14ac:dyDescent="0.4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45">
      <c r="A30" s="1"/>
      <c r="B30" s="96" t="s">
        <v>185</v>
      </c>
      <c r="C30" s="97"/>
      <c r="D30" s="97"/>
      <c r="E30" s="45">
        <v>0</v>
      </c>
      <c r="F30" s="11" t="s">
        <v>3</v>
      </c>
      <c r="G30" s="1"/>
    </row>
    <row r="31" spans="1:7" x14ac:dyDescent="0.45">
      <c r="A31" s="1"/>
      <c r="B31" s="38" t="s">
        <v>148</v>
      </c>
      <c r="C31" s="32"/>
      <c r="D31" s="32"/>
      <c r="E31" s="32"/>
      <c r="F31" s="32"/>
      <c r="G31" s="1"/>
    </row>
    <row r="32" spans="1:7" ht="15.5" customHeight="1" x14ac:dyDescent="0.45">
      <c r="A32" s="1"/>
      <c r="B32" s="96" t="s">
        <v>148</v>
      </c>
      <c r="C32" s="97"/>
      <c r="D32" s="98"/>
      <c r="E32" s="10">
        <v>0</v>
      </c>
      <c r="F32" s="11" t="s">
        <v>3</v>
      </c>
      <c r="G32" s="1"/>
    </row>
    <row r="33" spans="1:7" x14ac:dyDescent="0.45">
      <c r="A33" s="1"/>
      <c r="B33" s="38" t="s">
        <v>251</v>
      </c>
      <c r="C33" s="32"/>
      <c r="D33" s="20"/>
      <c r="E33" s="12">
        <f>SUM(E32,E30,E28,E24,E22,E20)</f>
        <v>67364387.206563085</v>
      </c>
      <c r="F33" s="13" t="s">
        <v>3</v>
      </c>
      <c r="G33" s="1"/>
    </row>
    <row r="34" spans="1:7" ht="27" customHeight="1" x14ac:dyDescent="0.45">
      <c r="A34" s="1"/>
      <c r="B34" s="89" t="s">
        <v>252</v>
      </c>
      <c r="C34" s="90"/>
      <c r="D34" s="90"/>
      <c r="E34" s="90"/>
      <c r="F34" s="9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H2VEW58lntj+3Cg3sfIdTN/WddBMaM4QVLeaN0oODf+n6zYmDBorY4kMEaNi4NpDpdJYQtLIgD6+zyDw1ZyKGQ==" saltValue="89b7AwVTgRAdYcwdrhXZAA==" spinCount="100000" sheet="1" objects="1" scenarios="1"/>
  <mergeCells count="20">
    <mergeCell ref="B26:D26"/>
    <mergeCell ref="B32:D32"/>
    <mergeCell ref="B22:D22"/>
    <mergeCell ref="B23:D23"/>
    <mergeCell ref="B34:F34"/>
    <mergeCell ref="B27:D27"/>
    <mergeCell ref="B28:D28"/>
    <mergeCell ref="B30:D30"/>
    <mergeCell ref="B3:F4"/>
    <mergeCell ref="B9:D9"/>
    <mergeCell ref="B10:D10"/>
    <mergeCell ref="B11:D11"/>
    <mergeCell ref="B12:D12"/>
    <mergeCell ref="B18:D18"/>
    <mergeCell ref="B19:D19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33203125" style="2" customWidth="1"/>
    <col min="7" max="7" width="10.33203125" style="2" customWidth="1"/>
    <col min="8" max="8" width="4.33203125" style="2" customWidth="1"/>
    <col min="9" max="9" width="6.6640625" style="2" customWidth="1"/>
    <col min="10" max="16384" width="9.1328125" style="2"/>
  </cols>
  <sheetData>
    <row r="1" spans="1:9" ht="15" customHeight="1" x14ac:dyDescent="0.4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45">
      <c r="A2" s="1"/>
      <c r="B2" s="92" t="s">
        <v>130</v>
      </c>
      <c r="C2" s="92"/>
      <c r="D2" s="92"/>
      <c r="E2" s="92"/>
      <c r="F2" s="92"/>
      <c r="G2" s="92"/>
      <c r="H2" s="92"/>
      <c r="I2" s="1"/>
    </row>
    <row r="3" spans="1:9" ht="28.5" customHeight="1" x14ac:dyDescent="0.45">
      <c r="A3" s="1"/>
      <c r="B3" s="92"/>
      <c r="C3" s="92"/>
      <c r="D3" s="92"/>
      <c r="E3" s="92"/>
      <c r="F3" s="92"/>
      <c r="G3" s="92"/>
      <c r="H3" s="92"/>
      <c r="I3" s="1"/>
    </row>
    <row r="4" spans="1:9" ht="14.25" customHeight="1" x14ac:dyDescent="0.45">
      <c r="A4" s="1"/>
      <c r="B4" s="42"/>
      <c r="C4" s="42"/>
      <c r="D4" s="42"/>
      <c r="E4" s="42"/>
      <c r="F4" s="42"/>
      <c r="G4" s="42"/>
      <c r="H4" s="42"/>
      <c r="I4" s="1"/>
    </row>
    <row r="5" spans="1:9" x14ac:dyDescent="0.45">
      <c r="A5" s="1"/>
      <c r="B5" s="99" t="s">
        <v>56</v>
      </c>
      <c r="C5" s="100"/>
      <c r="D5" s="100"/>
      <c r="E5" s="100"/>
      <c r="F5" s="100"/>
      <c r="G5" s="100"/>
      <c r="H5" s="101"/>
      <c r="I5" s="1"/>
    </row>
    <row r="6" spans="1:9" x14ac:dyDescent="0.45">
      <c r="A6" s="1"/>
      <c r="B6" s="104" t="s">
        <v>45</v>
      </c>
      <c r="C6" s="105"/>
      <c r="D6" s="105"/>
      <c r="E6" s="105"/>
      <c r="F6" s="106"/>
      <c r="G6" s="24">
        <v>7252280</v>
      </c>
      <c r="H6" s="14" t="s">
        <v>3</v>
      </c>
      <c r="I6" s="1"/>
    </row>
    <row r="7" spans="1:9" x14ac:dyDescent="0.45">
      <c r="A7" s="1"/>
      <c r="B7" s="89" t="s">
        <v>145</v>
      </c>
      <c r="C7" s="90"/>
      <c r="D7" s="90"/>
      <c r="E7" s="90"/>
      <c r="F7" s="91"/>
      <c r="G7" s="68">
        <v>0</v>
      </c>
      <c r="H7" s="14" t="s">
        <v>3</v>
      </c>
      <c r="I7" s="1"/>
    </row>
    <row r="8" spans="1:9" x14ac:dyDescent="0.45">
      <c r="A8" s="1"/>
      <c r="B8" s="104" t="s">
        <v>46</v>
      </c>
      <c r="C8" s="105"/>
      <c r="D8" s="105"/>
      <c r="E8" s="105"/>
      <c r="F8" s="106"/>
      <c r="G8" s="24">
        <f>SUM(G6:G7)*'Fane 14. Nøgletal'!C29</f>
        <v>145045.6</v>
      </c>
      <c r="H8" s="14" t="s">
        <v>3</v>
      </c>
      <c r="I8" s="1"/>
    </row>
    <row r="9" spans="1:9" x14ac:dyDescent="0.4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4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45">
      <c r="A11" s="1"/>
      <c r="B11" s="99" t="s">
        <v>57</v>
      </c>
      <c r="C11" s="100"/>
      <c r="D11" s="100"/>
      <c r="E11" s="100"/>
      <c r="F11" s="100"/>
      <c r="G11" s="100"/>
      <c r="H11" s="101"/>
      <c r="I11" s="1"/>
    </row>
    <row r="12" spans="1:9" x14ac:dyDescent="0.45">
      <c r="A12" s="1"/>
      <c r="B12" s="104" t="s">
        <v>47</v>
      </c>
      <c r="C12" s="105"/>
      <c r="D12" s="105"/>
      <c r="E12" s="105"/>
      <c r="F12" s="106"/>
      <c r="G12" s="24">
        <f>(G6-G8)*(1+'Fane 14. Nøgletal'!C10)</f>
        <v>7231611.0020000013</v>
      </c>
      <c r="H12" s="14" t="s">
        <v>3</v>
      </c>
      <c r="I12" s="1"/>
    </row>
    <row r="13" spans="1:9" ht="15" customHeight="1" x14ac:dyDescent="0.45">
      <c r="A13" s="1"/>
      <c r="B13" s="104" t="s">
        <v>146</v>
      </c>
      <c r="C13" s="105"/>
      <c r="D13" s="105"/>
      <c r="E13" s="105"/>
      <c r="F13" s="106"/>
      <c r="G13" s="68">
        <v>0</v>
      </c>
      <c r="H13" s="14" t="s">
        <v>3</v>
      </c>
      <c r="I13" s="1"/>
    </row>
    <row r="14" spans="1:9" x14ac:dyDescent="0.45">
      <c r="A14" s="1"/>
      <c r="B14" s="89" t="s">
        <v>143</v>
      </c>
      <c r="C14" s="90"/>
      <c r="D14" s="90"/>
      <c r="E14" s="90"/>
      <c r="F14" s="91"/>
      <c r="G14" s="68">
        <v>0</v>
      </c>
      <c r="H14" s="14" t="s">
        <v>3</v>
      </c>
      <c r="I14" s="1"/>
    </row>
    <row r="15" spans="1:9" x14ac:dyDescent="0.45">
      <c r="A15" s="1"/>
      <c r="B15" s="110" t="s">
        <v>48</v>
      </c>
      <c r="C15" s="111"/>
      <c r="D15" s="111"/>
      <c r="E15" s="111"/>
      <c r="F15" s="112"/>
      <c r="G15" s="68">
        <v>0</v>
      </c>
      <c r="H15" s="14" t="s">
        <v>3</v>
      </c>
      <c r="I15" s="1"/>
    </row>
    <row r="16" spans="1:9" x14ac:dyDescent="0.45">
      <c r="A16" s="1"/>
      <c r="B16" s="104" t="s">
        <v>49</v>
      </c>
      <c r="C16" s="105"/>
      <c r="D16" s="105"/>
      <c r="E16" s="105"/>
      <c r="F16" s="106"/>
      <c r="G16" s="24">
        <f>SUM(G12:G15)*'Fane 14. Nøgletal'!C29</f>
        <v>144632.22004000001</v>
      </c>
      <c r="H16" s="14" t="s">
        <v>3</v>
      </c>
      <c r="I16" s="1"/>
    </row>
    <row r="17" spans="1:9" x14ac:dyDescent="0.4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99" t="s">
        <v>58</v>
      </c>
      <c r="C19" s="100"/>
      <c r="D19" s="100"/>
      <c r="E19" s="100"/>
      <c r="F19" s="100"/>
      <c r="G19" s="100"/>
      <c r="H19" s="101"/>
      <c r="I19" s="1"/>
    </row>
    <row r="20" spans="1:9" x14ac:dyDescent="0.45">
      <c r="A20" s="1"/>
      <c r="B20" s="104" t="s">
        <v>50</v>
      </c>
      <c r="C20" s="105"/>
      <c r="D20" s="105"/>
      <c r="E20" s="105"/>
      <c r="F20" s="106"/>
      <c r="G20" s="24">
        <f>(SUM(G12:G13,G15)-(G16))*(1+'Fane 14. Nøgletal'!C10)</f>
        <v>7211000.9106443021</v>
      </c>
      <c r="H20" s="14" t="s">
        <v>3</v>
      </c>
      <c r="I20" s="1"/>
    </row>
    <row r="21" spans="1:9" x14ac:dyDescent="0.45">
      <c r="A21" s="1"/>
      <c r="B21" s="110" t="s">
        <v>51</v>
      </c>
      <c r="C21" s="111"/>
      <c r="D21" s="111"/>
      <c r="E21" s="111"/>
      <c r="F21" s="112"/>
      <c r="G21" s="68">
        <v>0</v>
      </c>
      <c r="H21" s="14" t="s">
        <v>3</v>
      </c>
      <c r="I21" s="1"/>
    </row>
    <row r="22" spans="1:9" x14ac:dyDescent="0.45">
      <c r="A22" s="1"/>
      <c r="B22" s="104" t="s">
        <v>52</v>
      </c>
      <c r="C22" s="105"/>
      <c r="D22" s="105"/>
      <c r="E22" s="105"/>
      <c r="F22" s="106"/>
      <c r="G22" s="24">
        <f>SUM(G20:G21)*'Fane 14. Nøgletal'!C29</f>
        <v>144220.01821288603</v>
      </c>
      <c r="H22" s="14" t="s">
        <v>3</v>
      </c>
      <c r="I22" s="1"/>
    </row>
    <row r="23" spans="1:9" x14ac:dyDescent="0.4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99" t="s">
        <v>59</v>
      </c>
      <c r="C25" s="100"/>
      <c r="D25" s="100"/>
      <c r="E25" s="100"/>
      <c r="F25" s="100"/>
      <c r="G25" s="100"/>
      <c r="H25" s="101"/>
      <c r="I25" s="1"/>
    </row>
    <row r="26" spans="1:9" x14ac:dyDescent="0.45">
      <c r="A26" s="1"/>
      <c r="B26" s="104" t="s">
        <v>53</v>
      </c>
      <c r="C26" s="105"/>
      <c r="D26" s="105"/>
      <c r="E26" s="105"/>
      <c r="F26" s="106"/>
      <c r="G26" s="24">
        <f>(G20+G21-G22)*(1+'Fane 14. Nøgletal'!C12)</f>
        <v>7205996.4760123156</v>
      </c>
      <c r="H26" s="14" t="s">
        <v>3</v>
      </c>
      <c r="I26" s="1"/>
    </row>
    <row r="27" spans="1:9" x14ac:dyDescent="0.45">
      <c r="A27" s="1"/>
      <c r="B27" s="110" t="s">
        <v>54</v>
      </c>
      <c r="C27" s="111"/>
      <c r="D27" s="111"/>
      <c r="E27" s="111"/>
      <c r="F27" s="112"/>
      <c r="G27" s="24">
        <v>101181.77903790001</v>
      </c>
      <c r="H27" s="14" t="s">
        <v>3</v>
      </c>
      <c r="I27" s="1"/>
    </row>
    <row r="28" spans="1:9" x14ac:dyDescent="0.45">
      <c r="A28" s="1"/>
      <c r="B28" s="104" t="s">
        <v>55</v>
      </c>
      <c r="C28" s="105"/>
      <c r="D28" s="105"/>
      <c r="E28" s="105"/>
      <c r="F28" s="106"/>
      <c r="G28" s="24">
        <f>(G26+G27)*'Fane 14. Nøgletal'!C29</f>
        <v>146143.56510100432</v>
      </c>
      <c r="H28" s="14" t="s">
        <v>3</v>
      </c>
      <c r="I28" s="1"/>
    </row>
    <row r="29" spans="1:9" x14ac:dyDescent="0.4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99" t="s">
        <v>62</v>
      </c>
      <c r="C31" s="100"/>
      <c r="D31" s="100"/>
      <c r="E31" s="100"/>
      <c r="F31" s="100"/>
      <c r="G31" s="100"/>
      <c r="H31" s="101"/>
      <c r="I31" s="1"/>
    </row>
    <row r="32" spans="1:9" x14ac:dyDescent="0.45">
      <c r="A32" s="1"/>
      <c r="B32" s="104" t="s">
        <v>63</v>
      </c>
      <c r="C32" s="105"/>
      <c r="D32" s="105"/>
      <c r="E32" s="105"/>
      <c r="F32" s="106"/>
      <c r="G32" s="24">
        <f>(G26+G27-G28)*(1+'Fane 14. Nøgletal'!C12)</f>
        <v>7302107.0733412113</v>
      </c>
      <c r="H32" s="14" t="s">
        <v>3</v>
      </c>
      <c r="I32" s="1"/>
    </row>
    <row r="33" spans="1:9" x14ac:dyDescent="0.45">
      <c r="A33" s="1"/>
      <c r="B33" s="104" t="s">
        <v>171</v>
      </c>
      <c r="C33" s="105"/>
      <c r="D33" s="105"/>
      <c r="E33" s="105"/>
      <c r="F33" s="106"/>
      <c r="G33" s="24">
        <v>131073.60674771998</v>
      </c>
      <c r="H33" s="14" t="s">
        <v>3</v>
      </c>
      <c r="I33" s="1"/>
    </row>
    <row r="34" spans="1:9" x14ac:dyDescent="0.45">
      <c r="A34" s="1"/>
      <c r="B34" s="104" t="s">
        <v>64</v>
      </c>
      <c r="C34" s="105"/>
      <c r="D34" s="105"/>
      <c r="E34" s="105"/>
      <c r="F34" s="106"/>
      <c r="G34" s="24">
        <f>(G32+G33)*'Fane 14. Nøgletal'!C29</f>
        <v>148663.61360177863</v>
      </c>
      <c r="H34" s="14" t="s">
        <v>3</v>
      </c>
      <c r="I34" s="1"/>
    </row>
    <row r="35" spans="1:9" x14ac:dyDescent="0.4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99" t="s">
        <v>232</v>
      </c>
      <c r="C37" s="100"/>
      <c r="D37" s="100"/>
      <c r="E37" s="100"/>
      <c r="F37" s="100"/>
      <c r="G37" s="100"/>
      <c r="H37" s="101"/>
      <c r="I37" s="1"/>
    </row>
    <row r="38" spans="1:9" x14ac:dyDescent="0.45">
      <c r="A38" s="1"/>
      <c r="B38" s="104" t="s">
        <v>84</v>
      </c>
      <c r="C38" s="105"/>
      <c r="D38" s="105"/>
      <c r="E38" s="105"/>
      <c r="F38" s="106"/>
      <c r="G38" s="24">
        <f>(G32+G33-G34)*(1+'Fane 14. Nøgletal'!C14)</f>
        <v>7308555.9728065608</v>
      </c>
      <c r="H38" s="14" t="s">
        <v>3</v>
      </c>
      <c r="I38" s="1"/>
    </row>
    <row r="39" spans="1:9" x14ac:dyDescent="0.45">
      <c r="A39" s="1"/>
      <c r="B39" s="104" t="s">
        <v>236</v>
      </c>
      <c r="C39" s="105"/>
      <c r="D39" s="105"/>
      <c r="E39" s="105"/>
      <c r="F39" s="106"/>
      <c r="G39" s="24">
        <f>SUM('Fane 2.1. Økonomisk ramme 2022'!C10,'Fane 2.1. Økonomisk ramme 2022'!C12,'Fane 2.1. Økonomisk ramme 2022'!C14)*(1+'Fane 14. Nøgletal'!C14)</f>
        <v>221563.10977612005</v>
      </c>
      <c r="H39" s="14" t="s">
        <v>3</v>
      </c>
      <c r="I39" s="1"/>
    </row>
    <row r="40" spans="1:9" x14ac:dyDescent="0.45">
      <c r="A40" s="1"/>
      <c r="B40" s="104" t="s">
        <v>234</v>
      </c>
      <c r="C40" s="105"/>
      <c r="D40" s="105"/>
      <c r="E40" s="105"/>
      <c r="F40" s="106"/>
      <c r="G40" s="24">
        <f>(G38+G39)*'Fane 14. Nøgletal'!C29</f>
        <v>150602.38165165362</v>
      </c>
      <c r="H40" s="14" t="s">
        <v>3</v>
      </c>
      <c r="I40" s="1"/>
    </row>
    <row r="41" spans="1:9" x14ac:dyDescent="0.4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99" t="s">
        <v>233</v>
      </c>
      <c r="C43" s="100"/>
      <c r="D43" s="100"/>
      <c r="E43" s="100"/>
      <c r="F43" s="100"/>
      <c r="G43" s="100"/>
      <c r="H43" s="101"/>
      <c r="I43" s="1"/>
    </row>
    <row r="44" spans="1:9" x14ac:dyDescent="0.45">
      <c r="A44" s="1"/>
      <c r="B44" s="104" t="s">
        <v>83</v>
      </c>
      <c r="C44" s="105"/>
      <c r="D44" s="105"/>
      <c r="E44" s="105"/>
      <c r="F44" s="106"/>
      <c r="G44" s="24">
        <f>(G38+G39-G40)*(1+'Fane 14. Nøgletal'!C14)</f>
        <v>7403869.1060440997</v>
      </c>
      <c r="H44" s="14" t="s">
        <v>3</v>
      </c>
      <c r="I44" s="1"/>
    </row>
    <row r="45" spans="1:9" x14ac:dyDescent="0.45">
      <c r="A45" s="1"/>
      <c r="B45" s="107" t="s">
        <v>237</v>
      </c>
      <c r="C45" s="108"/>
      <c r="D45" s="108"/>
      <c r="E45" s="108"/>
      <c r="F45" s="109"/>
      <c r="G45" s="24">
        <f>G39*(1+'Fane 14. Nøgletal'!C14)</f>
        <v>222294.26803838127</v>
      </c>
      <c r="H45" s="14" t="s">
        <v>3</v>
      </c>
      <c r="I45" s="1"/>
    </row>
    <row r="46" spans="1:9" x14ac:dyDescent="0.45">
      <c r="A46" s="1"/>
      <c r="B46" s="104" t="s">
        <v>97</v>
      </c>
      <c r="C46" s="105"/>
      <c r="D46" s="105"/>
      <c r="E46" s="105"/>
      <c r="F46" s="106"/>
      <c r="G46" s="68">
        <v>0</v>
      </c>
      <c r="H46" s="14" t="s">
        <v>3</v>
      </c>
      <c r="I46" s="1"/>
    </row>
    <row r="47" spans="1:9" x14ac:dyDescent="0.45">
      <c r="A47" s="1"/>
      <c r="B47" s="104" t="s">
        <v>235</v>
      </c>
      <c r="C47" s="105"/>
      <c r="D47" s="105"/>
      <c r="E47" s="105"/>
      <c r="F47" s="106"/>
      <c r="G47" s="24">
        <f>(G44+G46)*'Fane 14. Nøgletal'!C29</f>
        <v>148077.38212088199</v>
      </c>
      <c r="H47" s="14" t="s">
        <v>3</v>
      </c>
      <c r="I47" s="1"/>
    </row>
    <row r="48" spans="1:9" x14ac:dyDescent="0.45">
      <c r="A48" s="1"/>
      <c r="B48" s="38"/>
      <c r="C48" s="32"/>
      <c r="D48" s="32"/>
      <c r="E48" s="32"/>
      <c r="F48" s="32"/>
      <c r="G48" s="32"/>
      <c r="H48" s="20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99" t="s">
        <v>172</v>
      </c>
      <c r="C52" s="100"/>
      <c r="D52" s="100"/>
      <c r="E52" s="100"/>
      <c r="F52" s="100"/>
      <c r="G52" s="100"/>
      <c r="H52" s="101"/>
      <c r="I52" s="1"/>
    </row>
    <row r="53" spans="1:9" x14ac:dyDescent="0.45">
      <c r="A53" s="1"/>
      <c r="B53" s="104" t="s">
        <v>173</v>
      </c>
      <c r="C53" s="105"/>
      <c r="D53" s="105"/>
      <c r="E53" s="105"/>
      <c r="F53" s="106"/>
      <c r="G53" s="24">
        <f>(G44+G46-G47)*(1+'Fane 14. Nøgletal'!C14)</f>
        <v>7279735.836612165</v>
      </c>
      <c r="H53" s="14" t="s">
        <v>3</v>
      </c>
      <c r="I53" s="1"/>
    </row>
    <row r="54" spans="1:9" x14ac:dyDescent="0.45">
      <c r="A54" s="1"/>
      <c r="B54" s="104" t="s">
        <v>174</v>
      </c>
      <c r="C54" s="105"/>
      <c r="D54" s="105"/>
      <c r="E54" s="105"/>
      <c r="F54" s="106"/>
      <c r="G54" s="68">
        <v>0</v>
      </c>
      <c r="H54" s="14" t="s">
        <v>3</v>
      </c>
      <c r="I54" s="1"/>
    </row>
    <row r="55" spans="1:9" x14ac:dyDescent="0.45">
      <c r="A55" s="1"/>
      <c r="B55" s="104" t="s">
        <v>175</v>
      </c>
      <c r="C55" s="105"/>
      <c r="D55" s="105"/>
      <c r="E55" s="105"/>
      <c r="F55" s="106"/>
      <c r="G55" s="24">
        <f>(G53+G54)*'Fane 14. Nøgletal'!C29</f>
        <v>145594.71673224331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56" t="s">
        <v>201</v>
      </c>
      <c r="C58" s="57"/>
      <c r="D58" s="57"/>
      <c r="E58" s="57"/>
      <c r="F58" s="57"/>
      <c r="G58" s="57"/>
      <c r="H58" s="58"/>
      <c r="I58" s="1"/>
    </row>
    <row r="59" spans="1:9" x14ac:dyDescent="0.45">
      <c r="A59" s="1"/>
      <c r="B59" s="61" t="s">
        <v>202</v>
      </c>
      <c r="C59" s="62"/>
      <c r="D59" s="62"/>
      <c r="E59" s="62"/>
      <c r="F59" s="63"/>
      <c r="G59" s="24">
        <f>(G53+G54-G55)*(1+'Fane 14. Nøgletal'!C14)</f>
        <v>7157683.7855755258</v>
      </c>
      <c r="H59" s="14" t="s">
        <v>3</v>
      </c>
      <c r="I59" s="1"/>
    </row>
    <row r="60" spans="1:9" x14ac:dyDescent="0.45">
      <c r="A60" s="1"/>
      <c r="B60" s="61" t="s">
        <v>203</v>
      </c>
      <c r="C60" s="62"/>
      <c r="D60" s="62"/>
      <c r="E60" s="62"/>
      <c r="F60" s="63"/>
      <c r="G60" s="68">
        <v>0</v>
      </c>
      <c r="H60" s="14" t="s">
        <v>3</v>
      </c>
      <c r="I60" s="1"/>
    </row>
    <row r="61" spans="1:9" x14ac:dyDescent="0.45">
      <c r="A61" s="1"/>
      <c r="B61" s="61" t="s">
        <v>204</v>
      </c>
      <c r="C61" s="62"/>
      <c r="D61" s="62"/>
      <c r="E61" s="62"/>
      <c r="F61" s="63"/>
      <c r="G61" s="24">
        <f>(G59+G60)*'Fane 14. Nøgletal'!C29</f>
        <v>143153.67571151053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4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HGeNYIxU86Df6x74KTxXSHxTn6xxjY0+tQcJo6Lovx0nVe7hhA59BdOz437fXWrzxvS6Ssi6XXKAZlz5JXo6/Q==" saltValue="v6a1BxGFNZNe3zi259Dr3g==" spinCount="100000" sheet="1" objects="1" scenarios="1"/>
  <mergeCells count="36">
    <mergeCell ref="B12:F12"/>
    <mergeCell ref="B11:H11"/>
    <mergeCell ref="B7:F7"/>
    <mergeCell ref="B2:H3"/>
    <mergeCell ref="B25:H25"/>
    <mergeCell ref="B5:H5"/>
    <mergeCell ref="B6:F6"/>
    <mergeCell ref="B8:F8"/>
    <mergeCell ref="B55:F55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52:H52"/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33203125" style="2" customWidth="1"/>
    <col min="7" max="7" width="10.796875" style="2" bestFit="1" customWidth="1"/>
    <col min="8" max="8" width="4.33203125" style="2" customWidth="1"/>
    <col min="9" max="9" width="6.6640625" style="2" customWidth="1"/>
    <col min="10" max="16384" width="9.1328125" style="2"/>
  </cols>
  <sheetData>
    <row r="1" spans="1:9" ht="14.25" customHeight="1" x14ac:dyDescent="0.45">
      <c r="A1" s="1"/>
      <c r="B1" s="113" t="s">
        <v>131</v>
      </c>
      <c r="C1" s="113"/>
      <c r="D1" s="113"/>
      <c r="E1" s="113"/>
      <c r="F1" s="113"/>
      <c r="G1" s="113"/>
      <c r="H1" s="113"/>
      <c r="I1" s="1"/>
    </row>
    <row r="2" spans="1:9" ht="15" customHeight="1" x14ac:dyDescent="0.45">
      <c r="A2" s="1"/>
      <c r="B2" s="113"/>
      <c r="C2" s="113"/>
      <c r="D2" s="113"/>
      <c r="E2" s="113"/>
      <c r="F2" s="113"/>
      <c r="G2" s="113"/>
      <c r="H2" s="113"/>
      <c r="I2" s="1"/>
    </row>
    <row r="3" spans="1:9" ht="15" customHeight="1" x14ac:dyDescent="0.45">
      <c r="A3" s="1"/>
      <c r="B3" s="114"/>
      <c r="C3" s="114"/>
      <c r="D3" s="114"/>
      <c r="E3" s="114"/>
      <c r="F3" s="114"/>
      <c r="G3" s="114"/>
      <c r="H3" s="114"/>
      <c r="I3" s="1"/>
    </row>
    <row r="4" spans="1:9" x14ac:dyDescent="0.45">
      <c r="A4" s="1"/>
      <c r="B4" s="99" t="s">
        <v>60</v>
      </c>
      <c r="C4" s="100"/>
      <c r="D4" s="100"/>
      <c r="E4" s="100"/>
      <c r="F4" s="100"/>
      <c r="G4" s="100"/>
      <c r="H4" s="101"/>
      <c r="I4" s="1"/>
    </row>
    <row r="5" spans="1:9" x14ac:dyDescent="0.45">
      <c r="A5" s="1"/>
      <c r="B5" s="104" t="s">
        <v>65</v>
      </c>
      <c r="C5" s="105"/>
      <c r="D5" s="105"/>
      <c r="E5" s="105"/>
      <c r="F5" s="106"/>
      <c r="G5" s="24">
        <v>42729460</v>
      </c>
      <c r="H5" s="14" t="s">
        <v>3</v>
      </c>
      <c r="I5" s="1"/>
    </row>
    <row r="6" spans="1:9" x14ac:dyDescent="0.45">
      <c r="A6" s="1"/>
      <c r="B6" s="104" t="s">
        <v>61</v>
      </c>
      <c r="C6" s="105"/>
      <c r="D6" s="105"/>
      <c r="E6" s="105"/>
      <c r="F6" s="106"/>
      <c r="G6" s="24">
        <f>G5*'Fane 14. Nøgletal'!C19</f>
        <v>388838.08600000001</v>
      </c>
      <c r="H6" s="14" t="s">
        <v>3</v>
      </c>
      <c r="I6" s="1"/>
    </row>
    <row r="7" spans="1:9" x14ac:dyDescent="0.4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9" t="s">
        <v>66</v>
      </c>
      <c r="C9" s="100"/>
      <c r="D9" s="100"/>
      <c r="E9" s="100"/>
      <c r="F9" s="100"/>
      <c r="G9" s="100"/>
      <c r="H9" s="101"/>
      <c r="I9" s="1"/>
    </row>
    <row r="10" spans="1:9" x14ac:dyDescent="0.45">
      <c r="A10" s="1"/>
      <c r="B10" s="104" t="s">
        <v>67</v>
      </c>
      <c r="C10" s="105"/>
      <c r="D10" s="105"/>
      <c r="E10" s="105"/>
      <c r="F10" s="106"/>
      <c r="G10" s="24">
        <f>(G5-G6)*(1+'Fane 14. Nøgletal'!C10)</f>
        <v>43081582.797495</v>
      </c>
      <c r="H10" s="14" t="s">
        <v>3</v>
      </c>
      <c r="I10" s="1"/>
    </row>
    <row r="11" spans="1:9" x14ac:dyDescent="0.45">
      <c r="A11" s="1"/>
      <c r="B11" s="104" t="s">
        <v>147</v>
      </c>
      <c r="C11" s="105"/>
      <c r="D11" s="105"/>
      <c r="E11" s="105"/>
      <c r="F11" s="106"/>
      <c r="G11" s="24">
        <v>-68348.002068683752</v>
      </c>
      <c r="H11" s="14" t="s">
        <v>3</v>
      </c>
      <c r="I11" s="1"/>
    </row>
    <row r="12" spans="1:9" x14ac:dyDescent="0.45">
      <c r="A12" s="1"/>
      <c r="B12" s="110" t="s">
        <v>68</v>
      </c>
      <c r="C12" s="111"/>
      <c r="D12" s="111"/>
      <c r="E12" s="111"/>
      <c r="F12" s="112"/>
      <c r="G12" s="68">
        <v>0</v>
      </c>
      <c r="H12" s="14" t="s">
        <v>3</v>
      </c>
      <c r="I12" s="1"/>
    </row>
    <row r="13" spans="1:9" x14ac:dyDescent="0.45">
      <c r="A13" s="1"/>
      <c r="B13" s="104" t="s">
        <v>69</v>
      </c>
      <c r="C13" s="105"/>
      <c r="D13" s="105"/>
      <c r="E13" s="105"/>
      <c r="F13" s="106"/>
      <c r="G13" s="24">
        <f>SUM(G10:G12)*'Fane 14. Nøgletal'!C20</f>
        <v>761334.25587904581</v>
      </c>
      <c r="H13" s="14" t="s">
        <v>3</v>
      </c>
      <c r="I13" s="1"/>
    </row>
    <row r="14" spans="1:9" x14ac:dyDescent="0.4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99" t="s">
        <v>70</v>
      </c>
      <c r="C16" s="100"/>
      <c r="D16" s="100"/>
      <c r="E16" s="100"/>
      <c r="F16" s="100"/>
      <c r="G16" s="100"/>
      <c r="H16" s="101"/>
      <c r="I16" s="1"/>
    </row>
    <row r="17" spans="1:9" x14ac:dyDescent="0.45">
      <c r="A17" s="1"/>
      <c r="B17" s="104" t="s">
        <v>71</v>
      </c>
      <c r="C17" s="105"/>
      <c r="D17" s="105"/>
      <c r="E17" s="105"/>
      <c r="F17" s="106"/>
      <c r="G17" s="24">
        <f>(SUM(G10:G12)-G13)*(1+'Fane 14. Nøgletal'!C10)</f>
        <v>42991308.798989356</v>
      </c>
      <c r="H17" s="14" t="s">
        <v>3</v>
      </c>
      <c r="I17" s="1"/>
    </row>
    <row r="18" spans="1:9" x14ac:dyDescent="0.45">
      <c r="A18" s="1"/>
      <c r="B18" s="110" t="s">
        <v>72</v>
      </c>
      <c r="C18" s="111"/>
      <c r="D18" s="111"/>
      <c r="E18" s="111"/>
      <c r="F18" s="112"/>
      <c r="G18" s="24">
        <v>360899.40667267452</v>
      </c>
      <c r="H18" s="14" t="s">
        <v>3</v>
      </c>
      <c r="I18" s="1"/>
    </row>
    <row r="19" spans="1:9" x14ac:dyDescent="0.45">
      <c r="A19" s="1"/>
      <c r="B19" s="104" t="s">
        <v>73</v>
      </c>
      <c r="C19" s="105"/>
      <c r="D19" s="105"/>
      <c r="E19" s="105"/>
      <c r="F19" s="106"/>
      <c r="G19" s="24">
        <f>G17*'Fane 14. Nøgletal'!C20+G18*'Fane 14. Nøgletal'!C21</f>
        <v>764085.9905801639</v>
      </c>
      <c r="H19" s="14" t="s">
        <v>3</v>
      </c>
      <c r="I19" s="1"/>
    </row>
    <row r="20" spans="1:9" x14ac:dyDescent="0.4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9" t="s">
        <v>74</v>
      </c>
      <c r="C22" s="100"/>
      <c r="D22" s="100"/>
      <c r="E22" s="100"/>
      <c r="F22" s="100"/>
      <c r="G22" s="100"/>
      <c r="H22" s="101"/>
      <c r="I22" s="1"/>
    </row>
    <row r="23" spans="1:9" x14ac:dyDescent="0.45">
      <c r="A23" s="1"/>
      <c r="B23" s="104" t="s">
        <v>75</v>
      </c>
      <c r="C23" s="105"/>
      <c r="D23" s="105"/>
      <c r="E23" s="105"/>
      <c r="F23" s="106"/>
      <c r="G23" s="24">
        <f>(G17+G18-G19)*(1+'Fane 14. Nøgletal'!C12)</f>
        <v>43427108.222718976</v>
      </c>
      <c r="H23" s="14" t="s">
        <v>3</v>
      </c>
      <c r="I23" s="1"/>
    </row>
    <row r="24" spans="1:9" x14ac:dyDescent="0.45">
      <c r="A24" s="1"/>
      <c r="B24" s="110" t="s">
        <v>76</v>
      </c>
      <c r="C24" s="111"/>
      <c r="D24" s="111"/>
      <c r="E24" s="111"/>
      <c r="F24" s="112"/>
      <c r="G24" s="24">
        <v>811419.4766081667</v>
      </c>
      <c r="H24" s="14" t="s">
        <v>3</v>
      </c>
      <c r="I24" s="1"/>
    </row>
    <row r="25" spans="1:9" x14ac:dyDescent="0.45">
      <c r="A25" s="1"/>
      <c r="B25" s="104" t="s">
        <v>77</v>
      </c>
      <c r="C25" s="105"/>
      <c r="D25" s="105"/>
      <c r="E25" s="105"/>
      <c r="F25" s="106"/>
      <c r="G25" s="24">
        <f>(G23+G24)*'Fane 14. Nøgletal'!C22</f>
        <v>1256374.1866608909</v>
      </c>
      <c r="H25" s="14" t="s">
        <v>3</v>
      </c>
      <c r="I25" s="1"/>
    </row>
    <row r="26" spans="1:9" x14ac:dyDescent="0.4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9" t="s">
        <v>78</v>
      </c>
      <c r="C28" s="100"/>
      <c r="D28" s="100"/>
      <c r="E28" s="100"/>
      <c r="F28" s="100"/>
      <c r="G28" s="100"/>
      <c r="H28" s="101"/>
      <c r="I28" s="1"/>
    </row>
    <row r="29" spans="1:9" x14ac:dyDescent="0.45">
      <c r="A29" s="1"/>
      <c r="B29" s="104" t="s">
        <v>79</v>
      </c>
      <c r="C29" s="105"/>
      <c r="D29" s="105"/>
      <c r="E29" s="105"/>
      <c r="F29" s="106"/>
      <c r="G29" s="24">
        <f>(G23+G24-G25)*(1+'Fane 14. Nøgletal'!C12)</f>
        <v>43828901.936865777</v>
      </c>
      <c r="H29" s="14" t="s">
        <v>3</v>
      </c>
      <c r="I29" s="1"/>
    </row>
    <row r="30" spans="1:9" x14ac:dyDescent="0.45">
      <c r="A30" s="1"/>
      <c r="B30" s="104" t="s">
        <v>176</v>
      </c>
      <c r="C30" s="105"/>
      <c r="D30" s="105"/>
      <c r="E30" s="105"/>
      <c r="F30" s="106"/>
      <c r="G30" s="24">
        <v>663969.12125039997</v>
      </c>
      <c r="H30" s="14" t="s">
        <v>3</v>
      </c>
      <c r="I30" s="1"/>
    </row>
    <row r="31" spans="1:9" x14ac:dyDescent="0.45">
      <c r="A31" s="1"/>
      <c r="B31" s="104" t="s">
        <v>80</v>
      </c>
      <c r="C31" s="105"/>
      <c r="D31" s="105"/>
      <c r="E31" s="105"/>
      <c r="F31" s="106"/>
      <c r="G31" s="24">
        <f>G29*'Fane 14. Nøgletal'!C22+G30*'Fane 14. Nøgletal'!C23</f>
        <v>1262999.9658413741</v>
      </c>
      <c r="H31" s="14" t="s">
        <v>3</v>
      </c>
      <c r="I31" s="1"/>
    </row>
    <row r="32" spans="1:9" x14ac:dyDescent="0.4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9" t="s">
        <v>238</v>
      </c>
      <c r="C34" s="100"/>
      <c r="D34" s="100"/>
      <c r="E34" s="100"/>
      <c r="F34" s="100"/>
      <c r="G34" s="100"/>
      <c r="H34" s="101"/>
      <c r="I34" s="1"/>
    </row>
    <row r="35" spans="1:9" x14ac:dyDescent="0.45">
      <c r="A35" s="1"/>
      <c r="B35" s="104" t="s">
        <v>82</v>
      </c>
      <c r="C35" s="105"/>
      <c r="D35" s="105"/>
      <c r="E35" s="105"/>
      <c r="F35" s="106"/>
      <c r="G35" s="24">
        <f>(G29+G30-G31)*(1+'Fane 14. Nøgletal'!C14)</f>
        <v>43372529.666879311</v>
      </c>
      <c r="H35" s="14" t="s">
        <v>3</v>
      </c>
      <c r="I35" s="1"/>
    </row>
    <row r="36" spans="1:9" x14ac:dyDescent="0.45">
      <c r="A36" s="1"/>
      <c r="B36" s="104" t="s">
        <v>240</v>
      </c>
      <c r="C36" s="105"/>
      <c r="D36" s="105"/>
      <c r="E36" s="105"/>
      <c r="F36" s="106"/>
      <c r="G36" s="24">
        <f>SUM('Fane 2.1. Økonomisk ramme 2022'!C11,'Fane 2.1. Økonomisk ramme 2022'!C13,'Fane 2.1. Økonomisk ramme 2022'!C15)*(1+'Fane 14. Nøgletal'!C14)</f>
        <v>1411860.3549833202</v>
      </c>
      <c r="H36" s="14" t="s">
        <v>3</v>
      </c>
      <c r="I36" s="1"/>
    </row>
    <row r="37" spans="1:9" x14ac:dyDescent="0.45">
      <c r="A37" s="1"/>
      <c r="B37" s="104" t="s">
        <v>239</v>
      </c>
      <c r="C37" s="105"/>
      <c r="D37" s="105"/>
      <c r="E37" s="105"/>
      <c r="F37" s="106"/>
      <c r="G37" s="24">
        <f>(G35+G36)*'Fane 14. Nøgletal'!C24</f>
        <v>662808.97232356702</v>
      </c>
      <c r="H37" s="14" t="s">
        <v>3</v>
      </c>
      <c r="I37" s="1"/>
    </row>
    <row r="38" spans="1:9" x14ac:dyDescent="0.4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9" t="s">
        <v>85</v>
      </c>
      <c r="C40" s="100"/>
      <c r="D40" s="100"/>
      <c r="E40" s="100"/>
      <c r="F40" s="100"/>
      <c r="G40" s="100"/>
      <c r="H40" s="101"/>
      <c r="I40" s="1"/>
    </row>
    <row r="41" spans="1:9" x14ac:dyDescent="0.45">
      <c r="A41" s="1"/>
      <c r="B41" s="104" t="s">
        <v>81</v>
      </c>
      <c r="C41" s="105"/>
      <c r="D41" s="105"/>
      <c r="E41" s="105"/>
      <c r="F41" s="106"/>
      <c r="G41" s="24">
        <f>(G35+G36-G37)*(1+'Fane 14. Nøgletal'!C14)</f>
        <v>44267182.267002553</v>
      </c>
      <c r="H41" s="14" t="s">
        <v>3</v>
      </c>
      <c r="I41" s="1"/>
    </row>
    <row r="42" spans="1:9" x14ac:dyDescent="0.45">
      <c r="A42" s="1"/>
      <c r="B42" s="47" t="s">
        <v>242</v>
      </c>
      <c r="C42" s="62"/>
      <c r="D42" s="62"/>
      <c r="E42" s="62"/>
      <c r="F42" s="63"/>
      <c r="G42" s="24">
        <f>G36*(1+'Fane 14. Nøgletal'!C14)</f>
        <v>1416519.4941547653</v>
      </c>
      <c r="H42" s="14" t="s">
        <v>3</v>
      </c>
      <c r="I42" s="1"/>
    </row>
    <row r="43" spans="1:9" x14ac:dyDescent="0.45">
      <c r="A43" s="1"/>
      <c r="B43" s="104" t="s">
        <v>101</v>
      </c>
      <c r="C43" s="105"/>
      <c r="D43" s="105"/>
      <c r="E43" s="105"/>
      <c r="F43" s="106"/>
      <c r="G43" s="68">
        <v>0</v>
      </c>
      <c r="H43" s="14" t="s">
        <v>3</v>
      </c>
      <c r="I43" s="1"/>
    </row>
    <row r="44" spans="1:9" x14ac:dyDescent="0.45">
      <c r="A44" s="1"/>
      <c r="B44" s="104" t="s">
        <v>241</v>
      </c>
      <c r="C44" s="105"/>
      <c r="D44" s="105"/>
      <c r="E44" s="105"/>
      <c r="F44" s="106"/>
      <c r="G44" s="24">
        <f>(G41+G43)*'Fane 14. Nøgletal'!C24</f>
        <v>655154.29755163786</v>
      </c>
      <c r="H44" s="14" t="s">
        <v>3</v>
      </c>
      <c r="I44" s="1"/>
    </row>
    <row r="45" spans="1:9" x14ac:dyDescent="0.4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99" t="s">
        <v>181</v>
      </c>
      <c r="C52" s="100"/>
      <c r="D52" s="100"/>
      <c r="E52" s="100"/>
      <c r="F52" s="100"/>
      <c r="G52" s="100"/>
      <c r="H52" s="101"/>
      <c r="I52" s="1"/>
    </row>
    <row r="53" spans="1:9" x14ac:dyDescent="0.45">
      <c r="A53" s="1"/>
      <c r="B53" s="104" t="s">
        <v>182</v>
      </c>
      <c r="C53" s="105"/>
      <c r="D53" s="105"/>
      <c r="E53" s="105"/>
      <c r="F53" s="106"/>
      <c r="G53" s="24">
        <f>(G41+G43-G44)*(1+'Fane 14. Nøgletal'!C14)</f>
        <v>43755947.661750108</v>
      </c>
      <c r="H53" s="14" t="s">
        <v>3</v>
      </c>
      <c r="I53" s="1"/>
    </row>
    <row r="54" spans="1:9" x14ac:dyDescent="0.45">
      <c r="A54" s="1"/>
      <c r="B54" s="104" t="s">
        <v>183</v>
      </c>
      <c r="C54" s="105"/>
      <c r="D54" s="105"/>
      <c r="E54" s="105"/>
      <c r="F54" s="106"/>
      <c r="G54" s="68">
        <v>0</v>
      </c>
      <c r="H54" s="14" t="s">
        <v>3</v>
      </c>
      <c r="I54" s="1"/>
    </row>
    <row r="55" spans="1:9" x14ac:dyDescent="0.45">
      <c r="A55" s="1"/>
      <c r="B55" s="104" t="s">
        <v>184</v>
      </c>
      <c r="C55" s="105"/>
      <c r="D55" s="105"/>
      <c r="E55" s="105"/>
      <c r="F55" s="106"/>
      <c r="G55" s="24">
        <f>(G53+G54)*'Fane 14. Nøgletal'!C24</f>
        <v>647588.02539390163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99" t="s">
        <v>205</v>
      </c>
      <c r="C58" s="100"/>
      <c r="D58" s="100"/>
      <c r="E58" s="100"/>
      <c r="F58" s="100"/>
      <c r="G58" s="100"/>
      <c r="H58" s="101"/>
      <c r="I58" s="1"/>
    </row>
    <row r="59" spans="1:9" x14ac:dyDescent="0.45">
      <c r="A59" s="1"/>
      <c r="B59" s="104" t="s">
        <v>255</v>
      </c>
      <c r="C59" s="105"/>
      <c r="D59" s="105"/>
      <c r="E59" s="105"/>
      <c r="F59" s="106"/>
      <c r="G59" s="24">
        <f>(G53+G54-G55)*(1+'Fane 14. Nøgletal'!C14)</f>
        <v>43250617.223156184</v>
      </c>
      <c r="H59" s="14" t="s">
        <v>3</v>
      </c>
      <c r="I59" s="1"/>
    </row>
    <row r="60" spans="1:9" x14ac:dyDescent="0.45">
      <c r="A60" s="1"/>
      <c r="B60" s="104" t="s">
        <v>256</v>
      </c>
      <c r="C60" s="105"/>
      <c r="D60" s="105"/>
      <c r="E60" s="105"/>
      <c r="F60" s="106"/>
      <c r="G60" s="68">
        <v>0</v>
      </c>
      <c r="H60" s="14" t="s">
        <v>3</v>
      </c>
      <c r="I60" s="1"/>
    </row>
    <row r="61" spans="1:9" x14ac:dyDescent="0.45">
      <c r="A61" s="1"/>
      <c r="B61" s="104" t="s">
        <v>257</v>
      </c>
      <c r="C61" s="105"/>
      <c r="D61" s="105"/>
      <c r="E61" s="105"/>
      <c r="F61" s="106"/>
      <c r="G61" s="24">
        <f>(G59+G60)*'Fane 14. Nøgletal'!C24</f>
        <v>640109.13490271161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9hQ3xkH0FY+QfmGcU4bHbpaK9pYZ966UBSS/PEtOIk4OlhyYVNfHQQkxebL6W+AOEMGgSQlhyOZq4hWX0OxHNw==" saltValue="dCVBgOmCDQNi5ASq5AA+Kw==" spinCount="100000" sheet="1" objects="1" scenarios="1"/>
  <mergeCells count="37"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23:F23"/>
    <mergeCell ref="B24:F24"/>
    <mergeCell ref="B25:F25"/>
    <mergeCell ref="B41:F41"/>
    <mergeCell ref="B28:H28"/>
    <mergeCell ref="B29:F29"/>
    <mergeCell ref="B31:F31"/>
    <mergeCell ref="B34:H34"/>
    <mergeCell ref="B36:F36"/>
    <mergeCell ref="B37:F37"/>
    <mergeCell ref="B40:H40"/>
    <mergeCell ref="B58:H58"/>
    <mergeCell ref="B59:F59"/>
    <mergeCell ref="B60:F60"/>
    <mergeCell ref="B61:F61"/>
    <mergeCell ref="B43:F4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33203125" style="2" customWidth="1"/>
    <col min="8" max="8" width="3.332031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7" t="s">
        <v>96</v>
      </c>
      <c r="C3" s="87"/>
      <c r="D3" s="87"/>
      <c r="E3" s="87"/>
      <c r="F3" s="87"/>
      <c r="G3" s="87"/>
      <c r="H3" s="87"/>
      <c r="I3" s="1"/>
    </row>
    <row r="4" spans="1:9" ht="15" customHeight="1" x14ac:dyDescent="0.4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9" t="s">
        <v>10</v>
      </c>
      <c r="C8" s="100"/>
      <c r="D8" s="100"/>
      <c r="E8" s="100"/>
      <c r="F8" s="100"/>
      <c r="G8" s="100"/>
      <c r="H8" s="101"/>
      <c r="I8" s="1"/>
    </row>
    <row r="9" spans="1:9" x14ac:dyDescent="0.45">
      <c r="A9" s="1"/>
      <c r="B9" s="104" t="s">
        <v>243</v>
      </c>
      <c r="C9" s="105"/>
      <c r="D9" s="105"/>
      <c r="E9" s="105"/>
      <c r="F9" s="106"/>
      <c r="G9" s="23">
        <v>6.5513605196243782E-3</v>
      </c>
      <c r="H9" s="14"/>
      <c r="I9" s="1"/>
    </row>
    <row r="10" spans="1:9" x14ac:dyDescent="0.45">
      <c r="A10" s="1"/>
      <c r="B10" s="104" t="s">
        <v>86</v>
      </c>
      <c r="C10" s="105"/>
      <c r="D10" s="105"/>
      <c r="E10" s="105"/>
      <c r="F10" s="106"/>
      <c r="G10" s="23">
        <v>2.4768530888012166E-4</v>
      </c>
      <c r="H10" s="14"/>
      <c r="I10" s="1"/>
    </row>
    <row r="11" spans="1:9" x14ac:dyDescent="0.45">
      <c r="A11" s="1"/>
      <c r="B11" s="104" t="s">
        <v>87</v>
      </c>
      <c r="C11" s="105"/>
      <c r="D11" s="105"/>
      <c r="E11" s="105"/>
      <c r="F11" s="106"/>
      <c r="G11" s="41">
        <v>7.8104867073222626E-3</v>
      </c>
      <c r="H11" s="14"/>
      <c r="I11" s="1"/>
    </row>
    <row r="12" spans="1:9" x14ac:dyDescent="0.45">
      <c r="A12" s="1"/>
      <c r="B12" s="104" t="s">
        <v>206</v>
      </c>
      <c r="C12" s="105"/>
      <c r="D12" s="105"/>
      <c r="E12" s="105"/>
      <c r="F12" s="106"/>
      <c r="G12" s="41">
        <v>1.5568344554315711E-2</v>
      </c>
      <c r="H12" s="46"/>
      <c r="I12" s="1"/>
    </row>
    <row r="13" spans="1:9" x14ac:dyDescent="0.4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45">
      <c r="A14" s="1"/>
      <c r="B14" s="115" t="s">
        <v>207</v>
      </c>
      <c r="C14" s="115"/>
      <c r="D14" s="115"/>
      <c r="E14" s="115"/>
      <c r="F14" s="115"/>
      <c r="G14" s="115"/>
      <c r="H14" s="115"/>
      <c r="I14" s="1"/>
    </row>
    <row r="15" spans="1:9" ht="14.25" customHeight="1" x14ac:dyDescent="0.45">
      <c r="A15" s="18"/>
      <c r="B15" s="115"/>
      <c r="C15" s="115"/>
      <c r="D15" s="115"/>
      <c r="E15" s="115"/>
      <c r="F15" s="115"/>
      <c r="G15" s="115"/>
      <c r="H15" s="115"/>
      <c r="I15" s="18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4xME4WSV0TQCPXabE5vtnDalgM7iyAi+7dW291YJtG7Yb1k0OzCowbvMu6/k49OwJnxjt2wiuLFSTEO2U3AFg==" saltValue="ZuxtdCsBvXiki2t/oN0GbA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2021-09-09T22:29:08Z</dcterms:modified>
</cp:coreProperties>
</file>