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defaultThemeVersion="124226"/>
  <mc:AlternateContent xmlns:mc="http://schemas.openxmlformats.org/markup-compatibility/2006">
    <mc:Choice Requires="x15">
      <x15ac:absPath xmlns:x15ac="http://schemas.microsoft.com/office/spreadsheetml/2010/11/ac" url="E:\VAND\Sagsbehandling\Spildevand\Solrød Spildevand AS (S087)\ØR2024\"/>
    </mc:Choice>
  </mc:AlternateContent>
  <xr:revisionPtr revIDLastSave="0" documentId="13_ncr:1_{EC679F36-EDD5-4107-ADB7-D5BE091A5B21}" xr6:coauthVersionLast="36" xr6:coauthVersionMax="36" xr10:uidLastSave="{00000000-0000-0000-0000-000000000000}"/>
  <bookViews>
    <workbookView xWindow="3120" yWindow="990" windowWidth="12750" windowHeight="4620" tabRatio="872" firstSheet="1" activeTab="4"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workbook>
</file>

<file path=xl/calcChain.xml><?xml version="1.0" encoding="utf-8"?>
<calcChain xmlns="http://schemas.openxmlformats.org/spreadsheetml/2006/main">
  <c r="G18" i="41" l="1"/>
  <c r="E16" i="44" l="1"/>
  <c r="E18" i="44" s="1"/>
  <c r="E17" i="44"/>
  <c r="E25" i="44" l="1"/>
  <c r="E29" i="44" s="1"/>
  <c r="E31" i="44" s="1"/>
  <c r="C9" i="2"/>
  <c r="C32" i="2" l="1"/>
  <c r="C20" i="15"/>
  <c r="E30" i="20"/>
  <c r="E29" i="20"/>
  <c r="E31" i="20" s="1"/>
  <c r="E24" i="20"/>
  <c r="E23" i="20"/>
  <c r="E25" i="20" s="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<sst xmlns="http://schemas.openxmlformats.org/spreadsheetml/2006/main" count="658" uniqueCount="293">
  <si>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</si>
  <si>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</si>
  <si>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</si>
  <si>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</si>
  <si>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</si>
  <si>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</si>
  <si>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</si>
  <si>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</si>
  <si>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</si>
  <si>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</si>
  <si>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</si>
  <si>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</si>
  <si>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</si>
  <si>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</si>
  <si>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</si>
  <si>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</si>
  <si>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</si>
  <si>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</si>
  <si>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</si>
  <si>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</si>
  <si>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</si>
  <si>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</si>
  <si>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</si>
  <si>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</si>
  <si>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</si>
  <si>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</si>
  <si>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</si>
  <si>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</si>
  <si>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</si>
  <si>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</si>
  <si>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</si>
  <si>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</si>
  <si>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</si>
  <si>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</si>
  <si>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</si>
  <si>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</si>
  <si>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</si>
  <si>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</si>
  <si>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</si>
  <si>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</si>
  <si>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</si>
  <si>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</si>
  <si>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</si>
  <si>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</si>
  <si>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</si>
  <si>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</si>
  <si>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</si>
  <si>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</si>
  <si>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</si>
  <si>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</si>
  <si>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</si>
  <si>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</si>
  <si>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</si>
  <si>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</si>
  <si>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</si>
  <si>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</si>
  <si>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</si>
  <si>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</si>
  <si>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</si>
  <si>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</si>
  <si>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</si>
  <si>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</si>
  <si>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</si>
  <si>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</si>
  <si>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</si>
  <si>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</si>
  <si>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</si>
  <si>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</si>
  <si>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</si>
  <si>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</si>
  <si>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</si>
  <si>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</si>
  <si>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</si>
  <si>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</si>
  <si>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</si>
  <si>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</si>
  <si>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</si>
  <si>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</si>
  <si>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</si>
  <si>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</si>
  <si>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</si>
  <si>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</si>
  <si>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</si>
  <si>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</si>
  <si>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</si>
  <si>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</si>
  <si>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</si>
  <si>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</si>
  <si>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</si>
  <si>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</si>
  <si>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</si>
  <si>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</si>
  <si>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</si>
  <si>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</si>
  <si>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</si>
  <si>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</si>
  <si>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</si>
  <si>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</si>
  <si>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</si>
  <si>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</si>
  <si>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</si>
  <si>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</si>
  <si>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</si>
  <si>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</si>
  <si>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</si>
  <si>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</si>
  <si>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</si>
  <si>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</si>
  <si>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</si>
  <si>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</si>
  <si>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</si>
  <si>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</si>
  <si>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</si>
  <si>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</si>
  <si>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</si>
  <si>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</si>
  <si>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</si>
  <si>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</si>
  <si>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</si>
  <si>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</si>
  <si>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</si>
  <si>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</si>
  <si>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</si>
  <si>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</si>
  <si>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</si>
  <si>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</si>
  <si>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</si>
  <si>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</si>
  <si>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</si>
  <si>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</si>
  <si>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</si>
  <si>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</si>
  <si>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</si>
  <si>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</si>
  <si>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</si>
  <si>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</si>
  <si>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</si>
  <si>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</si>
  <si>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</si>
  <si>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</si>
  <si>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</si>
  <si>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</si>
  <si>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</si>
  <si>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</si>
  <si>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</si>
  <si>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</si>
  <si>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</si>
  <si>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</si>
  <si>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</si>
  <si>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</si>
  <si>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</si>
  <si>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</si>
  <si>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</si>
  <si>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</si>
  <si>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</si>
  <si>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</si>
  <si>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</si>
  <si>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</si>
  <si>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</si>
  <si>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</si>
  <si>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</si>
  <si>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</si>
  <si>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</si>
  <si>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</si>
  <si>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</si>
  <si>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</si>
  <si>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</si>
  <si>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</si>
  <si>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</si>
  <si>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</si>
  <si>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</si>
  <si>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</si>
  <si>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</si>
  <si>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</si>
  <si>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</si>
  <si>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</si>
  <si>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</si>
  <si>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</si>
  <si>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</si>
  <si>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</si>
  <si>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</si>
  <si>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</si>
  <si>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</si>
  <si>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</si>
  <si>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</si>
  <si>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</si>
  <si>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</si>
  <si>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</si>
  <si>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</si>
  <si>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</si>
  <si>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</si>
  <si>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</si>
  <si>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</si>
  <si>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</si>
  <si>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</si>
  <si>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</si>
  <si>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</si>
  <si>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</si>
  <si>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</si>
  <si>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</si>
  <si>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</si>
  <si>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</si>
  <si>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</si>
  <si>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</si>
  <si>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</si>
  <si>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</si>
  <si>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</si>
  <si>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</si>
  <si>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</si>
  <si>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</si>
  <si>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</si>
  <si>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</si>
  <si>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</si>
  <si>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</si>
  <si>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</si>
  <si>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</si>
  <si>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</si>
  <si>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</si>
  <si>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</si>
  <si>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</si>
  <si>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</si>
  <si>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</si>
  <si>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</si>
  <si>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</si>
  <si>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</si>
  <si>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</si>
  <si>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</si>
  <si>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</si>
  <si>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</si>
  <si>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</si>
  <si>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</si>
  <si>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</si>
  <si>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</si>
  <si>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</si>
  <si>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</si>
  <si>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</si>
  <si>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</si>
  <si>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</si>
  <si>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</si>
  <si>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</si>
  <si>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</si>
  <si>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</si>
  <si>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</si>
  <si>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</si>
  <si>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</si>
  <si>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</si>
  <si>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</si>
  <si>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</si>
  <si>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</si>
  <si>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</si>
  <si>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</si>
  <si>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</si>
  <si>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</si>
  <si>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</si>
  <si>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</si>
  <si>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</si>
  <si>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</si>
  <si>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</si>
  <si>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</si>
  <si>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</si>
  <si>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</si>
  <si>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</si>
  <si>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</si>
  <si>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</si>
  <si>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</si>
  <si>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</si>
  <si>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</si>
  <si>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</si>
  <si>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</si>
  <si>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</si>
  <si>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</si>
  <si>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</si>
  <si>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</si>
  <si>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</si>
  <si>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</si>
  <si>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</si>
  <si>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</si>
  <si>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</si>
  <si>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</si>
  <si>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</si>
  <si>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</si>
  <si>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</si>
  <si>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</si>
  <si>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</si>
  <si>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</si>
  <si>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</si>
  <si>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</si>
  <si>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</si>
  <si>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Kloakovertagelser Havdrup Øst</t>
  </si>
  <si>
    <t>Kloakovertagelser Trylleskov Strand</t>
  </si>
  <si>
    <t>Solrød Erhvervskile</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</si>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</sst>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Normal="100" workbookViewId="0">
      <selection activeCell="D23" sqref="D23:G23"/>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252</v>
      </c>
      <c r="E8" s="105"/>
      <c r="F8" s="105"/>
      <c r="G8" s="10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7" t="s">
        <v>197</v>
      </c>
      <c r="E14" s="98"/>
      <c r="F14" s="98"/>
      <c r="G14" s="99"/>
      <c r="H14" s="5"/>
      <c r="I14" s="1"/>
    </row>
    <row r="15" spans="1:9" x14ac:dyDescent="0.25">
      <c r="A15" s="1"/>
      <c r="B15" s="1"/>
      <c r="C15" s="6" t="s">
        <v>31</v>
      </c>
      <c r="D15" s="97" t="s">
        <v>262</v>
      </c>
      <c r="E15" s="98"/>
      <c r="F15" s="98"/>
      <c r="G15" s="99"/>
      <c r="H15" s="5"/>
      <c r="I15" s="1"/>
    </row>
    <row r="16" spans="1:9" x14ac:dyDescent="0.25">
      <c r="A16" s="1"/>
      <c r="B16" s="1"/>
      <c r="C16" s="6" t="s">
        <v>32</v>
      </c>
      <c r="D16" s="97" t="s">
        <v>263</v>
      </c>
      <c r="E16" s="98"/>
      <c r="F16" s="98"/>
      <c r="G16" s="99"/>
      <c r="H16" s="5"/>
      <c r="I16" s="1"/>
    </row>
    <row r="17" spans="1:9" x14ac:dyDescent="0.25">
      <c r="A17" s="1"/>
      <c r="B17" s="1"/>
      <c r="C17" s="6" t="s">
        <v>101</v>
      </c>
      <c r="D17" s="97" t="s">
        <v>198</v>
      </c>
      <c r="E17" s="98"/>
      <c r="F17" s="98"/>
      <c r="G17" s="99"/>
      <c r="H17" s="5"/>
      <c r="I17" s="1"/>
    </row>
    <row r="18" spans="1:9" x14ac:dyDescent="0.25">
      <c r="A18" s="1"/>
      <c r="B18" s="1"/>
      <c r="C18" s="6" t="s">
        <v>88</v>
      </c>
      <c r="D18" s="94" t="s">
        <v>79</v>
      </c>
      <c r="E18" s="95"/>
      <c r="F18" s="95"/>
      <c r="G18" s="96"/>
      <c r="H18" s="5"/>
      <c r="I18" s="1"/>
    </row>
    <row r="19" spans="1:9" x14ac:dyDescent="0.25">
      <c r="A19" s="1"/>
      <c r="B19" s="1"/>
      <c r="C19" s="6" t="s">
        <v>89</v>
      </c>
      <c r="D19" s="94" t="s">
        <v>80</v>
      </c>
      <c r="E19" s="95"/>
      <c r="F19" s="95"/>
      <c r="G19" s="96"/>
      <c r="H19" s="5"/>
      <c r="I19" s="1"/>
    </row>
    <row r="20" spans="1:9" x14ac:dyDescent="0.25">
      <c r="A20" s="1"/>
      <c r="B20" s="1"/>
      <c r="C20" s="6" t="s">
        <v>7</v>
      </c>
      <c r="D20" s="94" t="s">
        <v>10</v>
      </c>
      <c r="E20" s="95"/>
      <c r="F20" s="95"/>
      <c r="G20" s="96"/>
      <c r="H20" s="5"/>
      <c r="I20" s="1"/>
    </row>
    <row r="21" spans="1:9" x14ac:dyDescent="0.25">
      <c r="A21" s="1"/>
      <c r="B21" s="1"/>
      <c r="C21" s="6" t="s">
        <v>90</v>
      </c>
      <c r="D21" s="101" t="s">
        <v>12</v>
      </c>
      <c r="E21" s="102"/>
      <c r="F21" s="102"/>
      <c r="G21" s="103"/>
      <c r="H21" s="5"/>
      <c r="I21" s="1"/>
    </row>
    <row r="22" spans="1:9" x14ac:dyDescent="0.25">
      <c r="A22" s="1"/>
      <c r="B22" s="1"/>
      <c r="C22" s="6" t="s">
        <v>71</v>
      </c>
      <c r="D22" s="88" t="s">
        <v>199</v>
      </c>
      <c r="E22" s="89"/>
      <c r="F22" s="89"/>
      <c r="G22" s="90"/>
      <c r="H22" s="5"/>
      <c r="I22" s="1"/>
    </row>
    <row r="23" spans="1:9" x14ac:dyDescent="0.25">
      <c r="A23" s="1"/>
      <c r="B23" s="1"/>
      <c r="C23" s="6" t="s">
        <v>8</v>
      </c>
      <c r="D23" s="88" t="s">
        <v>181</v>
      </c>
      <c r="E23" s="89"/>
      <c r="F23" s="89"/>
      <c r="G23" s="90"/>
      <c r="H23" s="5"/>
      <c r="I23" s="1"/>
    </row>
    <row r="24" spans="1:9" x14ac:dyDescent="0.25">
      <c r="A24" s="1"/>
      <c r="B24" s="1"/>
      <c r="C24" s="6" t="s">
        <v>9</v>
      </c>
      <c r="D24" s="88" t="s">
        <v>200</v>
      </c>
      <c r="E24" s="89"/>
      <c r="F24" s="89"/>
      <c r="G24" s="90"/>
      <c r="H24" s="5"/>
      <c r="I24" s="1"/>
    </row>
    <row r="25" spans="1:9" x14ac:dyDescent="0.25">
      <c r="A25" s="1"/>
      <c r="B25" s="1"/>
      <c r="C25" s="6" t="s">
        <v>166</v>
      </c>
      <c r="D25" s="88" t="s">
        <v>160</v>
      </c>
      <c r="E25" s="89"/>
      <c r="F25" s="89"/>
      <c r="G25" s="90"/>
      <c r="H25" s="1"/>
      <c r="I25" s="1"/>
    </row>
    <row r="26" spans="1:9" x14ac:dyDescent="0.25">
      <c r="A26" s="1"/>
      <c r="B26" s="1"/>
      <c r="C26" s="6" t="s">
        <v>167</v>
      </c>
      <c r="D26" s="88" t="s">
        <v>72</v>
      </c>
      <c r="E26" s="89"/>
      <c r="F26" s="89"/>
      <c r="G26" s="90"/>
      <c r="H26" s="1"/>
      <c r="I26" s="1"/>
    </row>
    <row r="27" spans="1:9" x14ac:dyDescent="0.25">
      <c r="A27" s="1"/>
      <c r="B27" s="1"/>
      <c r="C27" s="6" t="s">
        <v>168</v>
      </c>
      <c r="D27" s="88" t="s">
        <v>73</v>
      </c>
      <c r="E27" s="89"/>
      <c r="F27" s="89"/>
      <c r="G27" s="90"/>
      <c r="H27" s="1"/>
      <c r="I27" s="1"/>
    </row>
    <row r="28" spans="1:9" x14ac:dyDescent="0.25">
      <c r="A28" s="1"/>
      <c r="B28" s="1"/>
      <c r="C28" s="6" t="s">
        <v>15</v>
      </c>
      <c r="D28" s="88" t="s">
        <v>74</v>
      </c>
      <c r="E28" s="89"/>
      <c r="F28" s="89"/>
      <c r="G28" s="90"/>
      <c r="H28" s="1"/>
      <c r="I28" s="1"/>
    </row>
    <row r="29" spans="1:9" x14ac:dyDescent="0.25">
      <c r="A29" s="1"/>
      <c r="B29" s="1"/>
      <c r="C29" s="6" t="s">
        <v>34</v>
      </c>
      <c r="D29" s="88" t="s">
        <v>114</v>
      </c>
      <c r="E29" s="89"/>
      <c r="F29" s="89"/>
      <c r="G29" s="90"/>
      <c r="H29" s="1"/>
      <c r="I29" s="1"/>
    </row>
    <row r="30" spans="1:9" x14ac:dyDescent="0.25">
      <c r="A30" s="1"/>
      <c r="B30" s="1"/>
      <c r="C30" s="6" t="s">
        <v>35</v>
      </c>
      <c r="D30" s="88" t="s">
        <v>33</v>
      </c>
      <c r="E30" s="89"/>
      <c r="F30" s="89"/>
      <c r="G30" s="90"/>
      <c r="H30" s="1"/>
      <c r="I30" s="1"/>
    </row>
    <row r="31" spans="1:9" x14ac:dyDescent="0.25">
      <c r="A31" s="1"/>
      <c r="B31" s="1"/>
      <c r="C31" s="6" t="s">
        <v>169</v>
      </c>
      <c r="D31" s="91" t="s">
        <v>87</v>
      </c>
      <c r="E31" s="92"/>
      <c r="F31" s="92"/>
      <c r="G31" s="9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224</v>
      </c>
      <c r="C8" s="114"/>
      <c r="D8" s="115"/>
      <c r="E8" s="1"/>
      <c r="F8" s="1"/>
    </row>
    <row r="9" spans="1:6" ht="15" customHeight="1" x14ac:dyDescent="0.25">
      <c r="A9" s="1"/>
      <c r="B9" s="27" t="s">
        <v>29</v>
      </c>
      <c r="C9" s="50" t="s">
        <v>225</v>
      </c>
      <c r="D9" s="11"/>
      <c r="E9" s="1"/>
      <c r="F9" s="1"/>
    </row>
    <row r="10" spans="1:6" ht="15" customHeight="1" x14ac:dyDescent="0.25">
      <c r="A10" s="1"/>
      <c r="B10" s="80" t="s">
        <v>272</v>
      </c>
      <c r="C10" s="9">
        <v>459728</v>
      </c>
      <c r="D10" s="14" t="s">
        <v>3</v>
      </c>
      <c r="E10" s="1"/>
      <c r="F10" s="1"/>
    </row>
    <row r="11" spans="1:6" ht="15" customHeight="1" x14ac:dyDescent="0.25">
      <c r="A11" s="1"/>
      <c r="B11" s="80" t="s">
        <v>273</v>
      </c>
      <c r="C11" s="9">
        <v>71036</v>
      </c>
      <c r="D11" s="14" t="s">
        <v>3</v>
      </c>
      <c r="E11" s="1"/>
      <c r="F11" s="1"/>
    </row>
    <row r="12" spans="1:6" ht="26.25" x14ac:dyDescent="0.25">
      <c r="A12" s="1"/>
      <c r="B12" s="29" t="s">
        <v>274</v>
      </c>
      <c r="C12" s="9">
        <v>278302</v>
      </c>
      <c r="D12" s="14" t="s">
        <v>3</v>
      </c>
      <c r="E12" s="1"/>
      <c r="F12" s="1"/>
    </row>
    <row r="13" spans="1:6" x14ac:dyDescent="0.25">
      <c r="A13" s="1"/>
      <c r="B13" s="80" t="s">
        <v>275</v>
      </c>
      <c r="C13" s="9">
        <v>69664</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878730</v>
      </c>
      <c r="D20" s="13" t="s">
        <v>3</v>
      </c>
      <c r="E20" s="1"/>
      <c r="F20" s="1"/>
    </row>
    <row r="21" spans="1:6" x14ac:dyDescent="0.25">
      <c r="A21" s="1"/>
      <c r="B21" s="33" t="s">
        <v>227</v>
      </c>
      <c r="C21" s="12">
        <f>C20*(1+'Fane 15. Nøgletal'!C16)^2</f>
        <v>1026469.6798271999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3" t="s">
        <v>99</v>
      </c>
      <c r="C24" s="114"/>
      <c r="D24" s="115"/>
      <c r="E24" s="1"/>
      <c r="F24" s="1"/>
    </row>
    <row r="25" spans="1:6" x14ac:dyDescent="0.25">
      <c r="A25" s="1"/>
      <c r="B25" s="80" t="s">
        <v>109</v>
      </c>
      <c r="C25" s="9">
        <v>135782</v>
      </c>
      <c r="D25" s="14" t="s">
        <v>3</v>
      </c>
      <c r="E25" s="1"/>
      <c r="F25" s="1"/>
    </row>
    <row r="26" spans="1:6" x14ac:dyDescent="0.25">
      <c r="A26" s="1"/>
      <c r="B26" s="80" t="s">
        <v>123</v>
      </c>
      <c r="C26" s="9">
        <v>135782</v>
      </c>
      <c r="D26" s="14" t="s">
        <v>3</v>
      </c>
      <c r="E26" s="1"/>
      <c r="F26" s="1"/>
    </row>
    <row r="27" spans="1:6" x14ac:dyDescent="0.25">
      <c r="A27" s="1"/>
      <c r="B27" s="80" t="s">
        <v>142</v>
      </c>
      <c r="C27" s="9">
        <v>135782</v>
      </c>
      <c r="D27" s="14" t="s">
        <v>3</v>
      </c>
      <c r="E27" s="1"/>
      <c r="F27" s="1"/>
    </row>
    <row r="28" spans="1:6" x14ac:dyDescent="0.25">
      <c r="A28" s="1"/>
      <c r="B28" s="34" t="s">
        <v>261</v>
      </c>
      <c r="C28" s="9">
        <v>135782</v>
      </c>
      <c r="D28" s="38" t="s">
        <v>3</v>
      </c>
      <c r="E28" s="1"/>
      <c r="F28" s="1"/>
    </row>
    <row r="29" spans="1:6" x14ac:dyDescent="0.25">
      <c r="A29" s="1"/>
      <c r="B29" s="113"/>
      <c r="C29" s="114"/>
      <c r="D29" s="115"/>
      <c r="E29" s="1"/>
      <c r="F29" s="1"/>
    </row>
    <row r="30" spans="1:6" x14ac:dyDescent="0.25">
      <c r="A30" s="1"/>
      <c r="B30" s="1"/>
      <c r="C30" s="1"/>
      <c r="D30" s="1"/>
      <c r="E30" s="1"/>
      <c r="F30" s="1"/>
    </row>
    <row r="31" spans="1:6" x14ac:dyDescent="0.25">
      <c r="A31" s="1"/>
      <c r="B31" s="1"/>
      <c r="C31" s="1"/>
      <c r="D31" s="1"/>
      <c r="E31" s="1"/>
      <c r="F31" s="1"/>
    </row>
    <row r="32" spans="1:6" x14ac:dyDescent="0.25">
      <c r="A32" s="1"/>
      <c r="B32" s="113" t="s">
        <v>81</v>
      </c>
      <c r="C32" s="114"/>
      <c r="D32" s="115"/>
      <c r="E32" s="1"/>
      <c r="F32" s="1"/>
    </row>
    <row r="33" spans="1:6" x14ac:dyDescent="0.25">
      <c r="A33" s="1"/>
      <c r="B33" s="80" t="s">
        <v>109</v>
      </c>
      <c r="C33" s="9">
        <v>918640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3"/>
      <c r="C37" s="114"/>
      <c r="D37" s="115"/>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9FD7-4250-49BA-A2A8-AA7784F4647B}">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3" t="s">
        <v>137</v>
      </c>
      <c r="C8" s="114"/>
      <c r="D8" s="114"/>
      <c r="E8" s="114"/>
      <c r="F8" s="115"/>
      <c r="G8" s="1"/>
    </row>
    <row r="9" spans="1:7" ht="15" customHeight="1" x14ac:dyDescent="0.25">
      <c r="A9" s="1"/>
      <c r="B9" s="116" t="s">
        <v>276</v>
      </c>
      <c r="C9" s="117"/>
      <c r="D9" s="118"/>
      <c r="E9" s="9">
        <v>-605105</v>
      </c>
      <c r="F9" s="14" t="s">
        <v>3</v>
      </c>
      <c r="G9" s="1"/>
    </row>
    <row r="10" spans="1:7" ht="15" customHeight="1" x14ac:dyDescent="0.25">
      <c r="A10" s="1"/>
      <c r="B10" s="116" t="s">
        <v>143</v>
      </c>
      <c r="C10" s="117"/>
      <c r="D10" s="118"/>
      <c r="E10" s="9">
        <v>-718861</v>
      </c>
      <c r="F10" s="14" t="s">
        <v>3</v>
      </c>
      <c r="G10" s="1"/>
    </row>
    <row r="11" spans="1:7" ht="15" customHeight="1" x14ac:dyDescent="0.25">
      <c r="A11" s="1"/>
      <c r="B11" s="116" t="s">
        <v>277</v>
      </c>
      <c r="C11" s="117"/>
      <c r="D11" s="118"/>
      <c r="E11" s="9">
        <v>-592530</v>
      </c>
      <c r="F11" s="14" t="s">
        <v>3</v>
      </c>
      <c r="G11" s="1"/>
    </row>
    <row r="12" spans="1:7" x14ac:dyDescent="0.25">
      <c r="A12" s="1"/>
      <c r="B12" s="33"/>
      <c r="C12" s="28"/>
      <c r="D12" s="28"/>
      <c r="E12" s="28"/>
      <c r="F12" s="19"/>
      <c r="G12" s="1"/>
    </row>
    <row r="13" spans="1:7" ht="42" customHeight="1" x14ac:dyDescent="0.25">
      <c r="A13" s="1"/>
      <c r="B13" s="125" t="s">
        <v>278</v>
      </c>
      <c r="C13" s="126"/>
      <c r="D13" s="126"/>
      <c r="E13" s="126"/>
      <c r="F13" s="127"/>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-592530</v>
      </c>
      <c r="F16" s="14" t="s">
        <v>3</v>
      </c>
      <c r="G16" s="1"/>
    </row>
    <row r="17" spans="1:7" x14ac:dyDescent="0.25">
      <c r="A17" s="1"/>
      <c r="B17" s="77" t="s">
        <v>281</v>
      </c>
      <c r="C17" s="78"/>
      <c r="D17" s="79"/>
      <c r="E17" s="9">
        <f>IF(SUM(E10)&gt;0,SUM(E10),0)</f>
        <v>0</v>
      </c>
      <c r="F17" s="14" t="s">
        <v>3</v>
      </c>
      <c r="G17" s="1"/>
    </row>
    <row r="18" spans="1:7" x14ac:dyDescent="0.25">
      <c r="A18" s="1"/>
      <c r="B18" s="81" t="s">
        <v>282</v>
      </c>
      <c r="C18" s="82"/>
      <c r="D18" s="83"/>
      <c r="E18" s="62">
        <f>IF(SUM(E16:E17)&gt;0,0,SUM(E16:E17))</f>
        <v>-592530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31083221</v>
      </c>
      <c r="F22" s="14" t="s">
        <v>3</v>
      </c>
      <c r="G22" s="1"/>
    </row>
    <row r="23" spans="1:7" x14ac:dyDescent="0.25">
      <c r="A23" s="1"/>
      <c r="B23" s="77" t="s">
        <v>285</v>
      </c>
      <c r="C23" s="78"/>
      <c r="D23" s="79"/>
      <c r="E23" s="9">
        <v>31345153</v>
      </c>
      <c r="F23" s="14" t="s">
        <v>3</v>
      </c>
      <c r="G23" s="1"/>
    </row>
    <row r="24" spans="1:7" x14ac:dyDescent="0.25">
      <c r="A24" s="1"/>
      <c r="B24" s="77" t="s">
        <v>30</v>
      </c>
      <c r="C24" s="78"/>
      <c r="D24" s="79"/>
      <c r="E24" s="9">
        <v>0</v>
      </c>
      <c r="F24" s="14" t="s">
        <v>3</v>
      </c>
      <c r="G24" s="1"/>
    </row>
    <row r="25" spans="1:7" x14ac:dyDescent="0.25">
      <c r="A25" s="1"/>
      <c r="B25" s="81" t="s">
        <v>286</v>
      </c>
      <c r="C25" s="82"/>
      <c r="D25" s="83"/>
      <c r="E25" s="62">
        <f>E22-E23-E24</f>
        <v>-261932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3" t="s">
        <v>287</v>
      </c>
      <c r="C28" s="114"/>
      <c r="D28" s="114"/>
      <c r="E28" s="114"/>
      <c r="F28" s="115"/>
      <c r="G28" s="1"/>
    </row>
    <row r="29" spans="1:7" x14ac:dyDescent="0.25">
      <c r="A29" s="1"/>
      <c r="B29" s="131" t="s">
        <v>116</v>
      </c>
      <c r="C29" s="132"/>
      <c r="D29" s="133"/>
      <c r="E29" s="9">
        <f>IF(E18&lt;0,IF(E25&lt;0,SUM(E18,E25),IF(E10&gt;0,SUM(E10:E11),E18)),IF(AND(E25&lt;0,SUM(E25,E11)&lt;0),IF(E11&lt;0,E25,IF(SUM(E10:E11)&gt;0,SUM(E25,E11),IF(AND(E25&lt;0,E18=0,E11&gt;0),IF(SUM(E9:E11)&gt;0,E25+E11,E25)))),0))</f>
        <v>-854462</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-427231</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election activeCell="E25" sqref="E25"/>
    </sheetView>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189</v>
      </c>
      <c r="C8" s="114"/>
      <c r="D8" s="114"/>
      <c r="E8" s="114"/>
      <c r="F8" s="114"/>
      <c r="G8" s="114"/>
      <c r="H8" s="115"/>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-193415.5</v>
      </c>
      <c r="H13" s="9" t="s">
        <v>3</v>
      </c>
      <c r="I13" s="1"/>
    </row>
    <row r="14" spans="1:9" x14ac:dyDescent="0.25">
      <c r="A14" s="1"/>
      <c r="B14" s="140" t="s">
        <v>176</v>
      </c>
      <c r="C14" s="141"/>
      <c r="D14" s="141"/>
      <c r="E14" s="141"/>
      <c r="F14" s="142"/>
      <c r="G14" s="9">
        <v>-193415.5</v>
      </c>
      <c r="H14" s="9" t="s">
        <v>3</v>
      </c>
      <c r="I14" s="1"/>
    </row>
    <row r="15" spans="1:9" x14ac:dyDescent="0.25">
      <c r="A15" s="1"/>
      <c r="B15" s="140" t="s">
        <v>177</v>
      </c>
      <c r="C15" s="141"/>
      <c r="D15" s="141"/>
      <c r="E15" s="141"/>
      <c r="F15" s="142"/>
      <c r="G15" s="9">
        <v>-193415.5</v>
      </c>
      <c r="H15" s="9" t="s">
        <v>3</v>
      </c>
      <c r="I15" s="1"/>
    </row>
    <row r="16" spans="1:9" x14ac:dyDescent="0.25">
      <c r="A16" s="1"/>
      <c r="B16" s="140" t="s">
        <v>178</v>
      </c>
      <c r="C16" s="141"/>
      <c r="D16" s="141"/>
      <c r="E16" s="141"/>
      <c r="F16" s="142"/>
      <c r="G16" s="9">
        <v>-193415.5</v>
      </c>
      <c r="H16" s="9" t="s">
        <v>3</v>
      </c>
      <c r="I16" s="1"/>
    </row>
    <row r="17" spans="1:9" x14ac:dyDescent="0.25">
      <c r="A17" s="1"/>
      <c r="B17" s="140" t="s">
        <v>179</v>
      </c>
      <c r="C17" s="141"/>
      <c r="D17" s="141"/>
      <c r="E17" s="141"/>
      <c r="F17" s="142"/>
      <c r="G17" s="9">
        <v>-193415.5</v>
      </c>
      <c r="H17" s="9" t="s">
        <v>3</v>
      </c>
      <c r="I17" s="1"/>
    </row>
    <row r="18" spans="1:9" x14ac:dyDescent="0.25">
      <c r="A18" s="1"/>
      <c r="B18" s="113" t="s">
        <v>180</v>
      </c>
      <c r="C18" s="114"/>
      <c r="D18" s="114"/>
      <c r="E18" s="114"/>
      <c r="F18" s="115"/>
      <c r="G18" s="12">
        <f>SUM(G10:G17)</f>
        <v>-967077.5</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228</v>
      </c>
      <c r="C9" s="114"/>
      <c r="D9" s="114"/>
      <c r="E9" s="114"/>
      <c r="F9" s="115"/>
      <c r="G9" s="1"/>
    </row>
    <row r="10" spans="1:7" x14ac:dyDescent="0.25">
      <c r="A10" s="1"/>
      <c r="B10" s="125" t="s">
        <v>82</v>
      </c>
      <c r="C10" s="126"/>
      <c r="D10" s="127"/>
      <c r="E10" s="7">
        <v>0</v>
      </c>
      <c r="F10" s="8" t="s">
        <v>3</v>
      </c>
      <c r="G10" s="1"/>
    </row>
    <row r="11" spans="1:7" x14ac:dyDescent="0.25">
      <c r="A11" s="1"/>
      <c r="B11" s="116" t="s">
        <v>229</v>
      </c>
      <c r="C11" s="117"/>
      <c r="D11" s="118"/>
      <c r="E11" s="7">
        <v>0</v>
      </c>
      <c r="F11" s="8" t="s">
        <v>3</v>
      </c>
      <c r="G11" s="1"/>
    </row>
    <row r="12" spans="1:7" x14ac:dyDescent="0.25">
      <c r="A12" s="1"/>
      <c r="B12" s="134" t="s">
        <v>83</v>
      </c>
      <c r="C12" s="135"/>
      <c r="D12" s="136"/>
      <c r="E12" s="10">
        <f>E11-E10</f>
        <v>0</v>
      </c>
      <c r="F12" s="11" t="s">
        <v>3</v>
      </c>
      <c r="G12" s="1"/>
    </row>
    <row r="13" spans="1:7" x14ac:dyDescent="0.25">
      <c r="A13" s="1"/>
      <c r="B13" s="113" t="s">
        <v>78</v>
      </c>
      <c r="C13" s="114"/>
      <c r="D13" s="114"/>
      <c r="E13" s="114"/>
      <c r="F13" s="115"/>
      <c r="G13" s="1"/>
    </row>
    <row r="14" spans="1:7" x14ac:dyDescent="0.25">
      <c r="A14" s="1"/>
      <c r="B14" s="116" t="s">
        <v>230</v>
      </c>
      <c r="C14" s="117"/>
      <c r="D14" s="118"/>
      <c r="E14" s="7">
        <v>135782</v>
      </c>
      <c r="F14" s="8" t="s">
        <v>3</v>
      </c>
      <c r="G14" s="1"/>
    </row>
    <row r="15" spans="1:7" x14ac:dyDescent="0.25">
      <c r="A15" s="1"/>
      <c r="B15" s="125" t="s">
        <v>231</v>
      </c>
      <c r="C15" s="126"/>
      <c r="D15" s="127"/>
      <c r="E15" s="7">
        <v>0</v>
      </c>
      <c r="F15" s="8" t="s">
        <v>3</v>
      </c>
      <c r="G15" s="1"/>
    </row>
    <row r="16" spans="1:7" x14ac:dyDescent="0.25">
      <c r="A16" s="1"/>
      <c r="B16" s="134" t="s">
        <v>83</v>
      </c>
      <c r="C16" s="135"/>
      <c r="D16" s="136"/>
      <c r="E16" s="10">
        <f>E15-E14</f>
        <v>-135782</v>
      </c>
      <c r="F16" s="11" t="s">
        <v>3</v>
      </c>
      <c r="G16" s="1"/>
    </row>
    <row r="17" spans="1:7" x14ac:dyDescent="0.25">
      <c r="A17" s="1"/>
      <c r="B17" s="33" t="s">
        <v>232</v>
      </c>
      <c r="C17" s="28"/>
      <c r="D17" s="28"/>
      <c r="E17" s="12">
        <f>E12+E16</f>
        <v>-135782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149</v>
      </c>
      <c r="C8" s="114"/>
      <c r="D8" s="114"/>
      <c r="E8" s="114"/>
      <c r="F8" s="114"/>
      <c r="G8" s="114"/>
      <c r="H8" s="114"/>
      <c r="I8" s="114"/>
      <c r="J8" s="114"/>
      <c r="K8" s="115"/>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50982</v>
      </c>
      <c r="D11" s="14" t="s">
        <v>3</v>
      </c>
      <c r="E11" s="9">
        <v>190832</v>
      </c>
      <c r="F11" s="14" t="s">
        <v>3</v>
      </c>
      <c r="G11" s="1"/>
    </row>
    <row r="12" spans="1:7" x14ac:dyDescent="0.25">
      <c r="A12" s="1"/>
      <c r="B12" s="24" t="s">
        <v>289</v>
      </c>
      <c r="C12" s="21">
        <v>0</v>
      </c>
      <c r="D12" s="14" t="s">
        <v>3</v>
      </c>
      <c r="E12" s="9">
        <v>21812</v>
      </c>
      <c r="F12" s="14" t="s">
        <v>3</v>
      </c>
      <c r="G12" s="1"/>
    </row>
    <row r="13" spans="1:7" x14ac:dyDescent="0.25">
      <c r="A13" s="1"/>
      <c r="B13" s="24" t="s">
        <v>290</v>
      </c>
      <c r="C13" s="21">
        <v>65370</v>
      </c>
      <c r="D13" s="14" t="s">
        <v>3</v>
      </c>
      <c r="E13" s="9">
        <v>503295</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116352</v>
      </c>
      <c r="D19" s="13" t="s">
        <v>3</v>
      </c>
      <c r="E19" s="12">
        <f>SUM(E10:E18)</f>
        <v>715939</v>
      </c>
      <c r="F19" s="13" t="s">
        <v>3</v>
      </c>
      <c r="G19" s="1"/>
    </row>
    <row r="20" spans="1:7" x14ac:dyDescent="0.25">
      <c r="A20" s="1"/>
      <c r="B20" s="33" t="s">
        <v>233</v>
      </c>
      <c r="C20" s="12">
        <f>C19*(1+'Fane 15. Nøgletal'!C16)</f>
        <v>125753.24159999999</v>
      </c>
      <c r="D20" s="13" t="s">
        <v>3</v>
      </c>
      <c r="E20" s="12">
        <f>E19*(1+'Fane 15. Nøgletal'!C16)</f>
        <v>773786.87119999994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260</v>
      </c>
      <c r="C8" s="114"/>
      <c r="D8" s="114"/>
      <c r="E8" s="114"/>
      <c r="F8" s="115"/>
      <c r="G8" s="1"/>
    </row>
    <row r="9" spans="1:7" x14ac:dyDescent="0.25">
      <c r="A9" s="1"/>
      <c r="B9" s="85" t="s">
        <v>17</v>
      </c>
      <c r="C9" s="85" t="s">
        <v>11</v>
      </c>
      <c r="D9" s="86"/>
      <c r="E9" s="85"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3" t="s">
        <v>110</v>
      </c>
      <c r="C9" s="114"/>
      <c r="D9" s="114"/>
      <c r="E9" s="114"/>
      <c r="F9" s="115"/>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3" t="s">
        <v>111</v>
      </c>
      <c r="C13" s="114"/>
      <c r="D13" s="115"/>
      <c r="E13" s="12">
        <f>SUM(E10:E12)*(1+'Fane 15. Nøgletal'!C16)^2</f>
        <v>0</v>
      </c>
      <c r="F13" s="13" t="s">
        <v>3</v>
      </c>
      <c r="G13" s="1"/>
    </row>
    <row r="14" spans="1:7" x14ac:dyDescent="0.25">
      <c r="A14" s="1"/>
      <c r="B14" s="1"/>
      <c r="C14" s="1"/>
      <c r="D14" s="1"/>
      <c r="E14" s="1"/>
      <c r="F14" s="1"/>
      <c r="G14" s="1"/>
    </row>
    <row r="15" spans="1:7" ht="15" customHeight="1" x14ac:dyDescent="0.25">
      <c r="A15" s="1"/>
      <c r="B15" s="113" t="s">
        <v>124</v>
      </c>
      <c r="C15" s="114"/>
      <c r="D15" s="114"/>
      <c r="E15" s="114"/>
      <c r="F15" s="115"/>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3" t="s">
        <v>125</v>
      </c>
      <c r="C19" s="114"/>
      <c r="D19" s="115"/>
      <c r="E19" s="12">
        <f>SUM(E16:E18)*(1+'Fane 15. Nøgletal'!C16)^3</f>
        <v>0</v>
      </c>
      <c r="F19" s="13" t="s">
        <v>3</v>
      </c>
      <c r="G19" s="1"/>
    </row>
    <row r="20" spans="1:7" x14ac:dyDescent="0.25">
      <c r="A20" s="1"/>
      <c r="B20" s="1"/>
      <c r="C20" s="1"/>
      <c r="D20" s="1"/>
      <c r="E20" s="1"/>
      <c r="F20" s="1"/>
      <c r="G20" s="1"/>
    </row>
    <row r="21" spans="1:7" ht="15" customHeight="1" x14ac:dyDescent="0.25">
      <c r="A21" s="1"/>
      <c r="B21" s="113" t="s">
        <v>145</v>
      </c>
      <c r="C21" s="114"/>
      <c r="D21" s="114"/>
      <c r="E21" s="114"/>
      <c r="F21" s="115"/>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3" t="s">
        <v>146</v>
      </c>
      <c r="C25" s="114"/>
      <c r="D25" s="115"/>
      <c r="E25" s="12">
        <f>SUM(E22:E24)*(1+'Fane 15. Nøgletal'!C16)^4</f>
        <v>0</v>
      </c>
      <c r="F25" s="13" t="s">
        <v>3</v>
      </c>
      <c r="G25" s="1"/>
    </row>
    <row r="26" spans="1:7" x14ac:dyDescent="0.25">
      <c r="A26" s="1"/>
      <c r="B26" s="1"/>
      <c r="C26" s="1"/>
      <c r="D26" s="1"/>
      <c r="E26" s="1"/>
      <c r="F26" s="1"/>
      <c r="G26" s="1"/>
    </row>
    <row r="27" spans="1:7" ht="15" customHeight="1" x14ac:dyDescent="0.25">
      <c r="A27" s="1"/>
      <c r="B27" s="113" t="s">
        <v>237</v>
      </c>
      <c r="C27" s="114"/>
      <c r="D27" s="114"/>
      <c r="E27" s="114"/>
      <c r="F27" s="115"/>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3" t="s">
        <v>238</v>
      </c>
      <c r="C31" s="114"/>
      <c r="D31" s="115"/>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112</v>
      </c>
      <c r="C8" s="114"/>
      <c r="D8" s="114"/>
      <c r="E8" s="114"/>
      <c r="F8" s="115"/>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240</v>
      </c>
      <c r="C9" s="114"/>
      <c r="D9" s="114"/>
      <c r="E9" s="114"/>
      <c r="F9" s="115"/>
      <c r="G9" s="1"/>
    </row>
    <row r="10" spans="1:7" ht="26.25" customHeight="1" x14ac:dyDescent="0.25">
      <c r="A10" s="1"/>
      <c r="B10" s="31" t="s">
        <v>18</v>
      </c>
      <c r="C10" s="143" t="s">
        <v>11</v>
      </c>
      <c r="D10" s="145"/>
      <c r="E10" s="143" t="s">
        <v>28</v>
      </c>
      <c r="F10" s="145"/>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election activeCell="C39" sqref="C39"/>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30392767.45733225</v>
      </c>
      <c r="D9" s="8" t="s">
        <v>3</v>
      </c>
      <c r="E9" s="1"/>
    </row>
    <row r="10" spans="1:5" ht="17.25" customHeight="1" x14ac:dyDescent="0.25">
      <c r="A10" s="1"/>
      <c r="B10" s="87" t="s">
        <v>36</v>
      </c>
      <c r="C10" s="7">
        <f>'Fane 11.1. Varige tillæg'!C20</f>
        <v>125753.24159999999</v>
      </c>
      <c r="D10" s="8" t="s">
        <v>3</v>
      </c>
      <c r="E10" s="1"/>
    </row>
    <row r="11" spans="1:5" ht="17.25" customHeight="1" x14ac:dyDescent="0.25">
      <c r="A11" s="1"/>
      <c r="B11" s="87" t="s">
        <v>37</v>
      </c>
      <c r="C11" s="9">
        <f>'Fane 11.1. Varige tillæg'!E20</f>
        <v>773786.87119999994</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2528418.4516666853</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-246450.63812335575</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33574275.383675575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2080891.6798271998</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-427231</v>
      </c>
      <c r="D32" s="11" t="s">
        <v>3</v>
      </c>
      <c r="E32" s="1"/>
    </row>
    <row r="33" spans="1:5" ht="15" customHeight="1" x14ac:dyDescent="0.25">
      <c r="A33" s="1"/>
      <c r="B33" s="33" t="s">
        <v>200</v>
      </c>
      <c r="C33" s="28"/>
      <c r="D33" s="19"/>
      <c r="E33" s="1"/>
    </row>
    <row r="34" spans="1:5" x14ac:dyDescent="0.25">
      <c r="A34" s="1"/>
      <c r="B34" s="31" t="s">
        <v>200</v>
      </c>
      <c r="C34" s="10">
        <f>'Fane 9. Korrektion af ØR2022'!E17</f>
        <v>-135782</v>
      </c>
      <c r="D34" s="11" t="s">
        <v>3</v>
      </c>
      <c r="E34" s="1"/>
    </row>
    <row r="35" spans="1:5" x14ac:dyDescent="0.25">
      <c r="A35" s="1"/>
      <c r="B35" s="30" t="s">
        <v>135</v>
      </c>
      <c r="C35" s="28"/>
      <c r="D35" s="19"/>
      <c r="E35" s="1"/>
    </row>
    <row r="36" spans="1:5" x14ac:dyDescent="0.25">
      <c r="A36" s="1"/>
      <c r="B36" s="70" t="s">
        <v>136</v>
      </c>
      <c r="C36" s="10">
        <f>'Fane 8. Skattesagen'!G13</f>
        <v>-193415.5</v>
      </c>
      <c r="D36" s="11" t="s">
        <v>3</v>
      </c>
      <c r="E36" s="1"/>
    </row>
    <row r="37" spans="1:5" x14ac:dyDescent="0.25">
      <c r="A37" s="1"/>
      <c r="B37" s="30" t="s">
        <v>291</v>
      </c>
      <c r="C37" s="28"/>
      <c r="D37" s="19"/>
      <c r="E37" s="1"/>
    </row>
    <row r="38" spans="1:5" x14ac:dyDescent="0.25">
      <c r="A38" s="1"/>
      <c r="B38" s="70" t="s">
        <v>292</v>
      </c>
      <c r="C38" s="10">
        <v>728921.46883941209</v>
      </c>
      <c r="D38" s="11" t="s">
        <v>3</v>
      </c>
      <c r="E38" s="1"/>
    </row>
    <row r="39" spans="1:5" x14ac:dyDescent="0.25">
      <c r="A39" s="1"/>
      <c r="B39" s="33" t="s">
        <v>108</v>
      </c>
      <c r="C39" s="49">
        <f>SUM(C34,C32,C24,C30,C22,C20,C36,C38)</f>
        <v>35627660.032342188</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election activeCell="C23" sqref="C23"/>
    </sheetView>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33574275.383675575</v>
      </c>
      <c r="D9" s="8" t="s">
        <v>3</v>
      </c>
      <c r="E9" s="1"/>
    </row>
    <row r="10" spans="1:5" ht="15" customHeight="1" x14ac:dyDescent="0.25">
      <c r="A10" s="1"/>
      <c r="B10" s="26" t="s">
        <v>19</v>
      </c>
      <c r="C10" s="7">
        <f>SUM(C9:C9)*'Fane 15. Nøgletal'!C16</f>
        <v>2712801.4510009862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-261036.5726900484</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36026040.261986516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1245190.4299572376</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-427231</v>
      </c>
      <c r="D20" s="11" t="s">
        <v>3</v>
      </c>
      <c r="E20" s="1"/>
    </row>
    <row r="21" spans="1:5" x14ac:dyDescent="0.25">
      <c r="A21" s="1"/>
      <c r="B21" s="30" t="s">
        <v>135</v>
      </c>
      <c r="C21" s="28"/>
      <c r="D21" s="19"/>
      <c r="E21" s="1"/>
    </row>
    <row r="22" spans="1:5" x14ac:dyDescent="0.25">
      <c r="A22" s="1"/>
      <c r="B22" s="70" t="s">
        <v>136</v>
      </c>
      <c r="C22" s="10">
        <f>'Fane 8. Skattesagen'!G14</f>
        <v>-193415.5</v>
      </c>
      <c r="D22" s="11" t="s">
        <v>3</v>
      </c>
      <c r="E22" s="1"/>
    </row>
    <row r="23" spans="1:5" x14ac:dyDescent="0.25">
      <c r="A23" s="1"/>
      <c r="B23" s="33" t="s">
        <v>122</v>
      </c>
      <c r="C23" s="12">
        <f>SUM(C14,C16,C18,C20,C22)</f>
        <v>36650584.191943757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36026040.261986516</v>
      </c>
      <c r="D9" s="8" t="s">
        <v>3</v>
      </c>
      <c r="E9" s="1"/>
    </row>
    <row r="10" spans="1:5" ht="15" customHeight="1" x14ac:dyDescent="0.25">
      <c r="A10" s="1"/>
      <c r="B10" s="26" t="s">
        <v>19</v>
      </c>
      <c r="C10" s="7">
        <f>SUM(C9:C9)*'Fane 15. Nøgletal'!C16</f>
        <v>2910904.0531685106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-276485.76120813622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38660458.55394689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1334830.6310977824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-193415.5</v>
      </c>
      <c r="D22" s="11" t="s">
        <v>3</v>
      </c>
      <c r="E22" s="1"/>
    </row>
    <row r="23" spans="1:5" x14ac:dyDescent="0.25">
      <c r="A23" s="1"/>
      <c r="B23" s="33" t="s">
        <v>140</v>
      </c>
      <c r="C23" s="12">
        <f>SUM(C14,C16,C18,C20,C22)</f>
        <v>39801873.685044676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tabSelected="1" view="pageLayout" zoomScaleNormal="100" workbookViewId="0">
      <selection activeCell="M2" sqref="M2"/>
    </sheetView>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38660458.55394689</v>
      </c>
      <c r="D9" s="8" t="s">
        <v>3</v>
      </c>
      <c r="E9" s="1"/>
      <c r="F9" s="1"/>
    </row>
    <row r="10" spans="1:6" ht="15" customHeight="1" x14ac:dyDescent="0.25">
      <c r="A10" s="1"/>
      <c r="B10" s="26" t="s">
        <v>19</v>
      </c>
      <c r="C10" s="7">
        <f>SUM(C9:C9)*'Fane 15. Nøgletal'!C16</f>
        <v>3123765.0511589088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-292849.29449947854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41491374.310606323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1431713.7604904831</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-193415.5</v>
      </c>
      <c r="D22" s="11" t="s">
        <v>3</v>
      </c>
      <c r="E22" s="1"/>
      <c r="F22" s="1"/>
    </row>
    <row r="23" spans="1:6" x14ac:dyDescent="0.25">
      <c r="A23" s="1"/>
      <c r="B23" s="33" t="s">
        <v>209</v>
      </c>
      <c r="C23" s="12">
        <f>SUM(C14,C16,C18,C20,C22)</f>
        <v>42729672.571096808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topLeftCell="A7"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30842569.380971096</v>
      </c>
      <c r="D9" s="8" t="s">
        <v>3</v>
      </c>
      <c r="E9" s="1"/>
    </row>
    <row r="10" spans="1:5" x14ac:dyDescent="0.25">
      <c r="A10" s="1"/>
      <c r="B10" s="87" t="s">
        <v>36</v>
      </c>
      <c r="C10" s="7">
        <v>5459.6832000000004</v>
      </c>
      <c r="D10" s="8" t="s">
        <v>3</v>
      </c>
      <c r="E10" s="1"/>
    </row>
    <row r="11" spans="1:5" x14ac:dyDescent="0.25">
      <c r="A11" s="1"/>
      <c r="B11" s="87" t="s">
        <v>37</v>
      </c>
      <c r="C11" s="9">
        <v>19855.558800000003</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102681.70157240461</v>
      </c>
      <c r="D16" s="8" t="s">
        <v>3</v>
      </c>
      <c r="E16" s="1"/>
    </row>
    <row r="17" spans="1:5" x14ac:dyDescent="0.25">
      <c r="A17" s="1"/>
      <c r="B17" s="87" t="s">
        <v>10</v>
      </c>
      <c r="C17" s="41">
        <v>-18961.286162341541</v>
      </c>
      <c r="D17" s="8" t="s">
        <v>3</v>
      </c>
      <c r="E17" s="1"/>
    </row>
    <row r="18" spans="1:5" x14ac:dyDescent="0.25">
      <c r="A18" s="1"/>
      <c r="B18" s="87" t="s">
        <v>23</v>
      </c>
      <c r="C18" s="41">
        <v>-230113.32880116216</v>
      </c>
      <c r="D18" s="8" t="s">
        <v>3</v>
      </c>
      <c r="E18" s="1"/>
    </row>
    <row r="19" spans="1:5" x14ac:dyDescent="0.25">
      <c r="A19" s="1"/>
      <c r="B19" s="87" t="s">
        <v>24</v>
      </c>
      <c r="C19" s="41">
        <v>-328724.25224774767</v>
      </c>
      <c r="D19" s="8" t="s">
        <v>3</v>
      </c>
      <c r="E19" s="47"/>
    </row>
    <row r="20" spans="1:5" x14ac:dyDescent="0.25">
      <c r="A20" s="1"/>
      <c r="B20" s="81" t="s">
        <v>21</v>
      </c>
      <c r="C20" s="10">
        <v>30392767.45733225</v>
      </c>
      <c r="D20" s="11" t="s">
        <v>3</v>
      </c>
      <c r="E20" s="1"/>
    </row>
    <row r="21" spans="1:5" x14ac:dyDescent="0.25">
      <c r="A21" s="1"/>
      <c r="B21" s="33" t="s">
        <v>12</v>
      </c>
      <c r="C21" s="28"/>
      <c r="D21" s="19"/>
      <c r="E21" s="1"/>
    </row>
    <row r="22" spans="1:5" x14ac:dyDescent="0.25">
      <c r="A22" s="1"/>
      <c r="B22" s="31" t="s">
        <v>12</v>
      </c>
      <c r="C22" s="10">
        <v>1047469.34325824</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69">
        <v>0</v>
      </c>
      <c r="D26" s="8" t="s">
        <v>3</v>
      </c>
      <c r="E26" s="1"/>
    </row>
    <row r="27" spans="1:5" x14ac:dyDescent="0.25">
      <c r="A27" s="1"/>
      <c r="B27" s="87" t="s">
        <v>70</v>
      </c>
      <c r="C27" s="69">
        <v>0</v>
      </c>
      <c r="D27" s="8" t="s">
        <v>3</v>
      </c>
      <c r="E27" s="1"/>
    </row>
    <row r="28" spans="1:5" x14ac:dyDescent="0.25">
      <c r="A28" s="1"/>
      <c r="B28" s="87" t="s">
        <v>161</v>
      </c>
      <c r="C28" s="69">
        <v>0</v>
      </c>
      <c r="D28" s="8" t="s">
        <v>3</v>
      </c>
      <c r="E28" s="1"/>
    </row>
    <row r="29" spans="1:5" x14ac:dyDescent="0.25">
      <c r="A29" s="1"/>
      <c r="B29" s="87"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-645967.48079106212</v>
      </c>
      <c r="D32" s="11" t="s">
        <v>3</v>
      </c>
      <c r="E32" s="1"/>
    </row>
    <row r="33" spans="1:5" x14ac:dyDescent="0.25">
      <c r="A33" s="1"/>
      <c r="B33" s="33" t="s">
        <v>266</v>
      </c>
      <c r="C33" s="28"/>
      <c r="D33" s="19"/>
      <c r="E33" s="1"/>
    </row>
    <row r="34" spans="1:5" x14ac:dyDescent="0.25">
      <c r="A34" s="1"/>
      <c r="B34" s="31" t="s">
        <v>266</v>
      </c>
      <c r="C34" s="10">
        <v>-135782</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30658487.319799427</v>
      </c>
      <c r="D37" s="30" t="s">
        <v>3</v>
      </c>
      <c r="E37" s="1"/>
    </row>
    <row r="38" spans="1:5" ht="30" customHeight="1" x14ac:dyDescent="0.25">
      <c r="A38" s="1"/>
      <c r="B38" s="111" t="s">
        <v>268</v>
      </c>
      <c r="C38" s="111"/>
      <c r="D38" s="11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topLeftCell="A13"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3" t="s">
        <v>46</v>
      </c>
      <c r="C4" s="114"/>
      <c r="D4" s="114"/>
      <c r="E4" s="114"/>
      <c r="F4" s="114"/>
      <c r="G4" s="114"/>
      <c r="H4" s="115"/>
      <c r="I4" s="1"/>
    </row>
    <row r="5" spans="1:9" x14ac:dyDescent="0.25">
      <c r="A5" s="1"/>
      <c r="B5" s="116" t="s">
        <v>38</v>
      </c>
      <c r="C5" s="117"/>
      <c r="D5" s="117"/>
      <c r="E5" s="117"/>
      <c r="F5" s="118"/>
      <c r="G5" s="63">
        <v>11705943.01124052</v>
      </c>
      <c r="H5" s="14" t="s">
        <v>3</v>
      </c>
      <c r="I5" s="1"/>
    </row>
    <row r="6" spans="1:9" x14ac:dyDescent="0.25">
      <c r="A6" s="1"/>
      <c r="B6" s="125" t="s">
        <v>102</v>
      </c>
      <c r="C6" s="126"/>
      <c r="D6" s="126"/>
      <c r="E6" s="126"/>
      <c r="F6" s="127"/>
      <c r="G6" s="66">
        <v>0</v>
      </c>
      <c r="H6" s="14" t="s">
        <v>3</v>
      </c>
      <c r="I6" s="1"/>
    </row>
    <row r="7" spans="1:9" x14ac:dyDescent="0.25">
      <c r="A7" s="1"/>
      <c r="B7" s="116" t="s">
        <v>39</v>
      </c>
      <c r="C7" s="117"/>
      <c r="D7" s="117"/>
      <c r="E7" s="117"/>
      <c r="F7" s="118"/>
      <c r="G7" s="23">
        <f>SUM(G5:G6)*'Fane 15. Nøgletal'!C33</f>
        <v>234118.8602248104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3" t="s">
        <v>47</v>
      </c>
      <c r="C10" s="114"/>
      <c r="D10" s="114"/>
      <c r="E10" s="114"/>
      <c r="F10" s="114"/>
      <c r="G10" s="114"/>
      <c r="H10" s="115"/>
      <c r="I10" s="1"/>
    </row>
    <row r="11" spans="1:9" x14ac:dyDescent="0.25">
      <c r="A11" s="1"/>
      <c r="B11" s="116" t="s">
        <v>40</v>
      </c>
      <c r="C11" s="117"/>
      <c r="D11" s="117"/>
      <c r="E11" s="117"/>
      <c r="F11" s="118"/>
      <c r="G11" s="23">
        <f>(G5-G7)*(1+'Fane 15. Nøgletal'!C10)</f>
        <v>11672581.073658485</v>
      </c>
      <c r="H11" s="14" t="s">
        <v>3</v>
      </c>
      <c r="I11" s="1"/>
    </row>
    <row r="12" spans="1:9" ht="15" customHeight="1" x14ac:dyDescent="0.25">
      <c r="A12" s="1"/>
      <c r="B12" s="116" t="s">
        <v>103</v>
      </c>
      <c r="C12" s="117"/>
      <c r="D12" s="117"/>
      <c r="E12" s="117"/>
      <c r="F12" s="118"/>
      <c r="G12" s="66">
        <v>0</v>
      </c>
      <c r="H12" s="14" t="s">
        <v>3</v>
      </c>
      <c r="I12" s="1"/>
    </row>
    <row r="13" spans="1:9" x14ac:dyDescent="0.25">
      <c r="A13" s="1"/>
      <c r="B13" s="125" t="s">
        <v>100</v>
      </c>
      <c r="C13" s="126"/>
      <c r="D13" s="126"/>
      <c r="E13" s="126"/>
      <c r="F13" s="127"/>
      <c r="G13" s="66">
        <v>0</v>
      </c>
      <c r="H13" s="14" t="s">
        <v>3</v>
      </c>
      <c r="I13" s="1"/>
    </row>
    <row r="14" spans="1:9" x14ac:dyDescent="0.25">
      <c r="A14" s="1"/>
      <c r="B14" s="122" t="s">
        <v>244</v>
      </c>
      <c r="C14" s="123"/>
      <c r="D14" s="123"/>
      <c r="E14" s="123"/>
      <c r="F14" s="124"/>
      <c r="G14" s="66">
        <v>0</v>
      </c>
      <c r="H14" s="14" t="s">
        <v>3</v>
      </c>
      <c r="I14" s="1"/>
    </row>
    <row r="15" spans="1:9" x14ac:dyDescent="0.25">
      <c r="A15" s="1"/>
      <c r="B15" s="116" t="s">
        <v>41</v>
      </c>
      <c r="C15" s="117"/>
      <c r="D15" s="117"/>
      <c r="E15" s="117"/>
      <c r="F15" s="118"/>
      <c r="G15" s="23">
        <f>SUM(G11:G14)*'Fane 15. Nøgletal'!C33</f>
        <v>233451.62147316971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3" t="s">
        <v>48</v>
      </c>
      <c r="C18" s="114"/>
      <c r="D18" s="114"/>
      <c r="E18" s="114"/>
      <c r="F18" s="114"/>
      <c r="G18" s="114"/>
      <c r="H18" s="115"/>
      <c r="I18" s="1"/>
    </row>
    <row r="19" spans="1:9" x14ac:dyDescent="0.25">
      <c r="A19" s="1"/>
      <c r="B19" s="116" t="s">
        <v>42</v>
      </c>
      <c r="C19" s="117"/>
      <c r="D19" s="117"/>
      <c r="E19" s="117"/>
      <c r="F19" s="118"/>
      <c r="G19" s="23">
        <f>(SUM(G11:G12,G14)-(G15))*(1+'Fane 15. Nøgletal'!C10)</f>
        <v>11639314.217598559</v>
      </c>
      <c r="H19" s="14" t="s">
        <v>3</v>
      </c>
      <c r="I19" s="1"/>
    </row>
    <row r="20" spans="1:9" x14ac:dyDescent="0.25">
      <c r="A20" s="1"/>
      <c r="B20" s="122" t="s">
        <v>245</v>
      </c>
      <c r="C20" s="123"/>
      <c r="D20" s="123"/>
      <c r="E20" s="123"/>
      <c r="F20" s="124"/>
      <c r="G20" s="66">
        <v>0</v>
      </c>
      <c r="H20" s="14" t="s">
        <v>3</v>
      </c>
      <c r="I20" s="1"/>
    </row>
    <row r="21" spans="1:9" x14ac:dyDescent="0.25">
      <c r="A21" s="1"/>
      <c r="B21" s="116" t="s">
        <v>43</v>
      </c>
      <c r="C21" s="117"/>
      <c r="D21" s="117"/>
      <c r="E21" s="117"/>
      <c r="F21" s="118"/>
      <c r="G21" s="23">
        <f>SUM(G19:G20)*'Fane 15. Nøgletal'!C33</f>
        <v>232786.2843519712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3" t="s">
        <v>49</v>
      </c>
      <c r="C24" s="114"/>
      <c r="D24" s="114"/>
      <c r="E24" s="114"/>
      <c r="F24" s="114"/>
      <c r="G24" s="114"/>
      <c r="H24" s="115"/>
      <c r="I24" s="1"/>
    </row>
    <row r="25" spans="1:9" x14ac:dyDescent="0.25">
      <c r="A25" s="1"/>
      <c r="B25" s="116" t="s">
        <v>44</v>
      </c>
      <c r="C25" s="117"/>
      <c r="D25" s="117"/>
      <c r="E25" s="117"/>
      <c r="F25" s="118"/>
      <c r="G25" s="23">
        <f>(G19+G20-G21)*(1+'Fane 15. Nøgletal'!C12)</f>
        <v>11631236.533531547</v>
      </c>
      <c r="H25" s="14" t="s">
        <v>3</v>
      </c>
      <c r="I25" s="1"/>
    </row>
    <row r="26" spans="1:9" x14ac:dyDescent="0.25">
      <c r="A26" s="1"/>
      <c r="B26" s="122" t="s">
        <v>246</v>
      </c>
      <c r="C26" s="123"/>
      <c r="D26" s="123"/>
      <c r="E26" s="123"/>
      <c r="F26" s="124"/>
      <c r="G26" s="66">
        <v>0</v>
      </c>
      <c r="H26" s="14" t="s">
        <v>3</v>
      </c>
      <c r="I26" s="1"/>
    </row>
    <row r="27" spans="1:9" x14ac:dyDescent="0.25">
      <c r="A27" s="1"/>
      <c r="B27" s="116" t="s">
        <v>45</v>
      </c>
      <c r="C27" s="117"/>
      <c r="D27" s="117"/>
      <c r="E27" s="117"/>
      <c r="F27" s="118"/>
      <c r="G27" s="23">
        <f>(G25+G26)*'Fane 15. Nøgletal'!C33</f>
        <v>232624.73067063093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3" t="s">
        <v>52</v>
      </c>
      <c r="C30" s="114"/>
      <c r="D30" s="114"/>
      <c r="E30" s="114"/>
      <c r="F30" s="114"/>
      <c r="G30" s="114"/>
      <c r="H30" s="115"/>
      <c r="I30" s="1"/>
    </row>
    <row r="31" spans="1:9" x14ac:dyDescent="0.25">
      <c r="A31" s="1"/>
      <c r="B31" s="116" t="s">
        <v>53</v>
      </c>
      <c r="C31" s="117"/>
      <c r="D31" s="117"/>
      <c r="E31" s="117"/>
      <c r="F31" s="118"/>
      <c r="G31" s="23">
        <f>(G25+G26-G27)*(1+'Fane 15. Nøgletal'!C12)</f>
        <v>11623164.455377277</v>
      </c>
      <c r="H31" s="14" t="s">
        <v>3</v>
      </c>
      <c r="I31" s="1"/>
    </row>
    <row r="32" spans="1:9" x14ac:dyDescent="0.25">
      <c r="A32" s="1"/>
      <c r="B32" s="116" t="s">
        <v>243</v>
      </c>
      <c r="C32" s="117"/>
      <c r="D32" s="117"/>
      <c r="E32" s="117"/>
      <c r="F32" s="118"/>
      <c r="G32" s="63">
        <v>180378.99512388001</v>
      </c>
      <c r="H32" s="14" t="s">
        <v>3</v>
      </c>
      <c r="I32" s="1"/>
    </row>
    <row r="33" spans="1:9" x14ac:dyDescent="0.25">
      <c r="A33" s="1"/>
      <c r="B33" s="116" t="s">
        <v>54</v>
      </c>
      <c r="C33" s="117"/>
      <c r="D33" s="117"/>
      <c r="E33" s="117"/>
      <c r="F33" s="118"/>
      <c r="G33" s="23">
        <f>(G31+G32)*'Fane 15. Nøgletal'!C33</f>
        <v>236070.86901002313</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3" t="s">
        <v>126</v>
      </c>
      <c r="C36" s="114"/>
      <c r="D36" s="114"/>
      <c r="E36" s="114"/>
      <c r="F36" s="114"/>
      <c r="G36" s="114"/>
      <c r="H36" s="115"/>
      <c r="I36" s="1"/>
    </row>
    <row r="37" spans="1:9" x14ac:dyDescent="0.25">
      <c r="A37" s="1"/>
      <c r="B37" s="116" t="s">
        <v>68</v>
      </c>
      <c r="C37" s="117"/>
      <c r="D37" s="117"/>
      <c r="E37" s="117"/>
      <c r="F37" s="118"/>
      <c r="G37" s="23">
        <f>(G31+G32-G33)*(1+'Fane 15. Nøgletal'!C14)</f>
        <v>11605645.241010055</v>
      </c>
      <c r="H37" s="14" t="s">
        <v>3</v>
      </c>
      <c r="I37" s="1"/>
    </row>
    <row r="38" spans="1:9" x14ac:dyDescent="0.25">
      <c r="A38" s="1"/>
      <c r="B38" s="116" t="s">
        <v>242</v>
      </c>
      <c r="C38" s="117"/>
      <c r="D38" s="117"/>
      <c r="E38" s="117"/>
      <c r="F38" s="118"/>
      <c r="G38" s="63">
        <v>90464.120684300011</v>
      </c>
      <c r="H38" s="14" t="s">
        <v>3</v>
      </c>
      <c r="I38" s="1"/>
    </row>
    <row r="39" spans="1:9" x14ac:dyDescent="0.25">
      <c r="A39" s="1"/>
      <c r="B39" s="116" t="s">
        <v>128</v>
      </c>
      <c r="C39" s="117"/>
      <c r="D39" s="117"/>
      <c r="E39" s="117"/>
      <c r="F39" s="118"/>
      <c r="G39" s="23">
        <f>(G37+G38)*'Fane 15. Nøgletal'!C33</f>
        <v>233922.18723388709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3" t="s">
        <v>127</v>
      </c>
      <c r="C42" s="114"/>
      <c r="D42" s="114"/>
      <c r="E42" s="114"/>
      <c r="F42" s="114"/>
      <c r="G42" s="114"/>
      <c r="H42" s="115"/>
      <c r="I42" s="1"/>
    </row>
    <row r="43" spans="1:9" x14ac:dyDescent="0.25">
      <c r="A43" s="1"/>
      <c r="B43" s="116" t="s">
        <v>155</v>
      </c>
      <c r="C43" s="117"/>
      <c r="D43" s="117"/>
      <c r="E43" s="117"/>
      <c r="F43" s="118"/>
      <c r="G43" s="23">
        <f>(G37+G38-G39)*(1+'Fane 15. Nøgletal'!C14)</f>
        <v>11500012.392136188</v>
      </c>
      <c r="H43" s="14" t="s">
        <v>3</v>
      </c>
      <c r="I43" s="1"/>
    </row>
    <row r="44" spans="1:9" x14ac:dyDescent="0.25">
      <c r="A44" s="1"/>
      <c r="B44" s="119" t="s">
        <v>157</v>
      </c>
      <c r="C44" s="120"/>
      <c r="D44" s="120"/>
      <c r="E44" s="120"/>
      <c r="F44" s="121"/>
      <c r="G44" s="45">
        <v>5654.0479219200006</v>
      </c>
      <c r="H44" s="14" t="s">
        <v>3</v>
      </c>
      <c r="I44" s="1"/>
    </row>
    <row r="45" spans="1:9" x14ac:dyDescent="0.25">
      <c r="A45" s="1"/>
      <c r="B45" s="116" t="s">
        <v>129</v>
      </c>
      <c r="C45" s="117"/>
      <c r="D45" s="117"/>
      <c r="E45" s="117"/>
      <c r="F45" s="118"/>
      <c r="G45" s="23">
        <f>SUM(G43:G44)*'Fane 15. Nøgletal'!C33</f>
        <v>230113.32880116216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3" t="s">
        <v>192</v>
      </c>
      <c r="C51" s="114"/>
      <c r="D51" s="114"/>
      <c r="E51" s="114"/>
      <c r="F51" s="114"/>
      <c r="G51" s="114"/>
      <c r="H51" s="115"/>
      <c r="I51" s="1"/>
    </row>
    <row r="52" spans="1:9" x14ac:dyDescent="0.25">
      <c r="A52" s="1"/>
      <c r="B52" s="116" t="s">
        <v>154</v>
      </c>
      <c r="C52" s="117"/>
      <c r="D52" s="117"/>
      <c r="E52" s="117"/>
      <c r="F52" s="118"/>
      <c r="G52" s="23">
        <f>(G43+G44-G45)*(1+'Fane 15. Nøgletal'!C16)</f>
        <v>12186617.802646507</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135914.10352127999</v>
      </c>
      <c r="H53" s="14" t="s">
        <v>3</v>
      </c>
      <c r="I53" s="1"/>
    </row>
    <row r="54" spans="1:9" x14ac:dyDescent="0.25">
      <c r="A54" s="1"/>
      <c r="B54" s="116" t="s">
        <v>210</v>
      </c>
      <c r="C54" s="117"/>
      <c r="D54" s="117"/>
      <c r="E54" s="117"/>
      <c r="F54" s="118"/>
      <c r="G54" s="23">
        <f>(G52)*'Fane 15. Nøgletal'!C33+(G53)*'Fane 15. Nøgletal'!C33</f>
        <v>246450.63812335575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3" t="s">
        <v>193</v>
      </c>
      <c r="C57" s="114"/>
      <c r="D57" s="114"/>
      <c r="E57" s="114"/>
      <c r="F57" s="114"/>
      <c r="G57" s="114"/>
      <c r="H57" s="115"/>
      <c r="I57" s="1"/>
    </row>
    <row r="58" spans="1:9" x14ac:dyDescent="0.25">
      <c r="A58" s="1"/>
      <c r="B58" s="77" t="s">
        <v>212</v>
      </c>
      <c r="C58" s="78"/>
      <c r="D58" s="78"/>
      <c r="E58" s="78"/>
      <c r="F58" s="79"/>
      <c r="G58" s="23">
        <f>(G52+G53-G54)*(1+'Fane 15. Nøgletal'!C16)</f>
        <v>13051828.63450242</v>
      </c>
      <c r="H58" s="14" t="s">
        <v>3</v>
      </c>
      <c r="I58" s="1"/>
    </row>
    <row r="59" spans="1:9" x14ac:dyDescent="0.25">
      <c r="A59" s="1"/>
      <c r="B59" s="77" t="s">
        <v>211</v>
      </c>
      <c r="C59" s="78"/>
      <c r="D59" s="78"/>
      <c r="E59" s="78"/>
      <c r="F59" s="79"/>
      <c r="G59" s="23">
        <f>(G58)*'Fane 15. Nøgletal'!C33</f>
        <v>261036.5726900484</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3" t="s">
        <v>256</v>
      </c>
      <c r="C62" s="114"/>
      <c r="D62" s="114"/>
      <c r="E62" s="114"/>
      <c r="F62" s="114"/>
      <c r="G62" s="114"/>
      <c r="H62" s="115"/>
      <c r="I62" s="1"/>
    </row>
    <row r="63" spans="1:9" x14ac:dyDescent="0.25">
      <c r="A63" s="1"/>
      <c r="B63" s="77" t="s">
        <v>213</v>
      </c>
      <c r="C63" s="78"/>
      <c r="D63" s="78"/>
      <c r="E63" s="78"/>
      <c r="F63" s="79"/>
      <c r="G63" s="23">
        <f>(G58-G59)*(1+'Fane 15. Nøgletal'!C16)</f>
        <v>13824288.06040681</v>
      </c>
      <c r="H63" s="14" t="s">
        <v>3</v>
      </c>
      <c r="I63" s="1"/>
    </row>
    <row r="64" spans="1:9" x14ac:dyDescent="0.25">
      <c r="A64" s="1"/>
      <c r="B64" s="77" t="s">
        <v>214</v>
      </c>
      <c r="C64" s="78"/>
      <c r="D64" s="78"/>
      <c r="E64" s="78"/>
      <c r="F64" s="79"/>
      <c r="G64" s="23">
        <f>(G63)*'Fane 15. Nøgletal'!C33</f>
        <v>276485.76120813622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3" t="s">
        <v>257</v>
      </c>
      <c r="C67" s="114"/>
      <c r="D67" s="114"/>
      <c r="E67" s="114"/>
      <c r="F67" s="114"/>
      <c r="G67" s="114"/>
      <c r="H67" s="115"/>
      <c r="I67" s="1"/>
    </row>
    <row r="68" spans="1:9" x14ac:dyDescent="0.25">
      <c r="A68" s="1"/>
      <c r="B68" s="77" t="s">
        <v>213</v>
      </c>
      <c r="C68" s="78"/>
      <c r="D68" s="78"/>
      <c r="E68" s="78"/>
      <c r="F68" s="79"/>
      <c r="G68" s="23">
        <f>(G63-G64)*(1+'Fane 15. Nøgletal'!C16)</f>
        <v>14642464.724973926</v>
      </c>
      <c r="H68" s="14" t="s">
        <v>3</v>
      </c>
      <c r="I68" s="1"/>
    </row>
    <row r="69" spans="1:9" x14ac:dyDescent="0.25">
      <c r="A69" s="1"/>
      <c r="B69" s="77" t="s">
        <v>214</v>
      </c>
      <c r="C69" s="78"/>
      <c r="D69" s="78"/>
      <c r="E69" s="78"/>
      <c r="F69" s="79"/>
      <c r="G69" s="23">
        <f>(G68)*'Fane 15. Nøgletal'!C33</f>
        <v>292849.29449947854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3" t="s">
        <v>50</v>
      </c>
      <c r="C4" s="114"/>
      <c r="D4" s="114"/>
      <c r="E4" s="114"/>
      <c r="F4" s="114"/>
      <c r="G4" s="114"/>
      <c r="H4" s="115"/>
      <c r="I4" s="1"/>
    </row>
    <row r="5" spans="1:9" x14ac:dyDescent="0.25">
      <c r="A5" s="1"/>
      <c r="B5" s="116" t="s">
        <v>55</v>
      </c>
      <c r="C5" s="117"/>
      <c r="D5" s="117"/>
      <c r="E5" s="117"/>
      <c r="F5" s="118"/>
      <c r="G5" s="63">
        <v>20969443.840955921</v>
      </c>
      <c r="H5" s="14" t="s">
        <v>3</v>
      </c>
      <c r="I5" s="1"/>
    </row>
    <row r="6" spans="1:9" x14ac:dyDescent="0.25">
      <c r="A6" s="1"/>
      <c r="B6" s="116" t="s">
        <v>51</v>
      </c>
      <c r="C6" s="117"/>
      <c r="D6" s="117"/>
      <c r="E6" s="117"/>
      <c r="F6" s="118"/>
      <c r="G6" s="23">
        <f>G5*'Fane 15. Nøgletal'!C21</f>
        <v>190821.9389526989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3" t="s">
        <v>56</v>
      </c>
      <c r="C9" s="114"/>
      <c r="D9" s="114"/>
      <c r="E9" s="114"/>
      <c r="F9" s="114"/>
      <c r="G9" s="114"/>
      <c r="H9" s="115"/>
      <c r="I9" s="1"/>
    </row>
    <row r="10" spans="1:9" x14ac:dyDescent="0.25">
      <c r="A10" s="1"/>
      <c r="B10" s="116" t="s">
        <v>57</v>
      </c>
      <c r="C10" s="117"/>
      <c r="D10" s="117"/>
      <c r="E10" s="117"/>
      <c r="F10" s="118"/>
      <c r="G10" s="23">
        <f>(G5-G6)*(1+'Fane 15. Nøgletal'!C10)</f>
        <v>21142247.785288278</v>
      </c>
      <c r="H10" s="14" t="s">
        <v>3</v>
      </c>
      <c r="I10" s="1"/>
    </row>
    <row r="11" spans="1:9" x14ac:dyDescent="0.25">
      <c r="A11" s="1"/>
      <c r="B11" s="116" t="s">
        <v>104</v>
      </c>
      <c r="C11" s="117"/>
      <c r="D11" s="117"/>
      <c r="E11" s="117"/>
      <c r="F11" s="118"/>
      <c r="G11" s="63">
        <v>226681.03205776471</v>
      </c>
      <c r="H11" s="14" t="s">
        <v>3</v>
      </c>
      <c r="I11" s="1"/>
    </row>
    <row r="12" spans="1:9" x14ac:dyDescent="0.25">
      <c r="A12" s="1"/>
      <c r="B12" s="122" t="s">
        <v>247</v>
      </c>
      <c r="C12" s="123"/>
      <c r="D12" s="123"/>
      <c r="E12" s="123"/>
      <c r="F12" s="124"/>
      <c r="G12" s="66">
        <v>0</v>
      </c>
      <c r="H12" s="14" t="s">
        <v>3</v>
      </c>
      <c r="I12" s="1"/>
    </row>
    <row r="13" spans="1:9" x14ac:dyDescent="0.25">
      <c r="A13" s="1"/>
      <c r="B13" s="116" t="s">
        <v>58</v>
      </c>
      <c r="C13" s="117"/>
      <c r="D13" s="117"/>
      <c r="E13" s="117"/>
      <c r="F13" s="118"/>
      <c r="G13" s="23">
        <f>SUM(G10:G12)*'Fane 15. Nøgletal'!C22</f>
        <v>378230.04006702499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3" t="s">
        <v>59</v>
      </c>
      <c r="C16" s="114"/>
      <c r="D16" s="114"/>
      <c r="E16" s="114"/>
      <c r="F16" s="114"/>
      <c r="G16" s="114"/>
      <c r="H16" s="115"/>
      <c r="I16" s="1"/>
    </row>
    <row r="17" spans="1:9" x14ac:dyDescent="0.25">
      <c r="A17" s="1"/>
      <c r="B17" s="116" t="s">
        <v>60</v>
      </c>
      <c r="C17" s="117"/>
      <c r="D17" s="117"/>
      <c r="E17" s="117"/>
      <c r="F17" s="118"/>
      <c r="G17" s="23">
        <f>(SUM(G10:G12)-G13)*(1+'Fane 15. Nøgletal'!C10)</f>
        <v>21358036.005881403</v>
      </c>
      <c r="H17" s="14" t="s">
        <v>3</v>
      </c>
      <c r="I17" s="1"/>
    </row>
    <row r="18" spans="1:9" x14ac:dyDescent="0.25">
      <c r="A18" s="1"/>
      <c r="B18" s="122" t="s">
        <v>248</v>
      </c>
      <c r="C18" s="123"/>
      <c r="D18" s="123"/>
      <c r="E18" s="123"/>
      <c r="F18" s="124"/>
      <c r="G18" s="63">
        <v>991204.14792451973</v>
      </c>
      <c r="H18" s="14" t="s">
        <v>3</v>
      </c>
      <c r="I18" s="1"/>
    </row>
    <row r="19" spans="1:9" x14ac:dyDescent="0.25">
      <c r="A19" s="1"/>
      <c r="B19" s="116" t="s">
        <v>61</v>
      </c>
      <c r="C19" s="117"/>
      <c r="D19" s="117"/>
      <c r="E19" s="117"/>
      <c r="F19" s="118"/>
      <c r="G19" s="23">
        <f>G17*'Fane 15. Nøgletal'!C22+G18*'Fane 15. Nøgletal'!C23</f>
        <v>386660.71339104412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3" t="s">
        <v>62</v>
      </c>
      <c r="C22" s="114"/>
      <c r="D22" s="114"/>
      <c r="E22" s="114"/>
      <c r="F22" s="114"/>
      <c r="G22" s="114"/>
      <c r="H22" s="115"/>
      <c r="I22" s="1"/>
    </row>
    <row r="23" spans="1:9" x14ac:dyDescent="0.25">
      <c r="A23" s="1"/>
      <c r="B23" s="116" t="s">
        <v>63</v>
      </c>
      <c r="C23" s="117"/>
      <c r="D23" s="117"/>
      <c r="E23" s="117"/>
      <c r="F23" s="118"/>
      <c r="G23" s="23">
        <f>(G17+G18-G19)*(1+'Fane 15. Nøgletal'!C12)</f>
        <v>22395242.255391054</v>
      </c>
      <c r="H23" s="14" t="s">
        <v>3</v>
      </c>
      <c r="I23" s="1"/>
    </row>
    <row r="24" spans="1:9" x14ac:dyDescent="0.25">
      <c r="A24" s="1"/>
      <c r="B24" s="122" t="s">
        <v>249</v>
      </c>
      <c r="C24" s="123"/>
      <c r="D24" s="123"/>
      <c r="E24" s="123"/>
      <c r="F24" s="124"/>
      <c r="G24" s="63">
        <v>303204.76492270135</v>
      </c>
      <c r="H24" s="14" t="s">
        <v>3</v>
      </c>
      <c r="I24" s="1"/>
    </row>
    <row r="25" spans="1:9" x14ac:dyDescent="0.25">
      <c r="A25" s="1"/>
      <c r="B25" s="116" t="s">
        <v>64</v>
      </c>
      <c r="C25" s="117"/>
      <c r="D25" s="117"/>
      <c r="E25" s="117"/>
      <c r="F25" s="118"/>
      <c r="G25" s="23">
        <f>(G23+G24)*'Fane 15. Nøgletal'!C24</f>
        <v>644635.89537691069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3" t="s">
        <v>65</v>
      </c>
      <c r="C28" s="114"/>
      <c r="D28" s="114"/>
      <c r="E28" s="114"/>
      <c r="F28" s="114"/>
      <c r="G28" s="114"/>
      <c r="H28" s="115"/>
      <c r="I28" s="1"/>
    </row>
    <row r="29" spans="1:9" x14ac:dyDescent="0.25">
      <c r="A29" s="1"/>
      <c r="B29" s="116" t="s">
        <v>66</v>
      </c>
      <c r="C29" s="117"/>
      <c r="D29" s="117"/>
      <c r="E29" s="117"/>
      <c r="F29" s="118"/>
      <c r="G29" s="23">
        <f>(G23+G24-G25)*(1+'Fane 15. Nøgletal'!C12)</f>
        <v>22488271.204098102</v>
      </c>
      <c r="H29" s="14" t="s">
        <v>3</v>
      </c>
      <c r="I29" s="1"/>
    </row>
    <row r="30" spans="1:9" x14ac:dyDescent="0.25">
      <c r="A30" s="1"/>
      <c r="B30" s="116" t="s">
        <v>250</v>
      </c>
      <c r="C30" s="117"/>
      <c r="D30" s="117"/>
      <c r="E30" s="117"/>
      <c r="F30" s="118"/>
      <c r="G30" s="63">
        <v>18299.466831239999</v>
      </c>
      <c r="H30" s="14" t="s">
        <v>3</v>
      </c>
      <c r="I30" s="1"/>
    </row>
    <row r="31" spans="1:9" x14ac:dyDescent="0.25">
      <c r="A31" s="1"/>
      <c r="B31" s="116" t="s">
        <v>67</v>
      </c>
      <c r="C31" s="117"/>
      <c r="D31" s="117"/>
      <c r="E31" s="117"/>
      <c r="F31" s="118"/>
      <c r="G31" s="23">
        <f>G29*'Fane 15. Nøgletal'!C24+G30*'Fane 15. Nøgletal'!C25</f>
        <v>639170.13753424527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3" t="s">
        <v>130</v>
      </c>
      <c r="C34" s="114"/>
      <c r="D34" s="114"/>
      <c r="E34" s="114"/>
      <c r="F34" s="114"/>
      <c r="G34" s="114"/>
      <c r="H34" s="115"/>
      <c r="I34" s="1"/>
    </row>
    <row r="35" spans="1:9" x14ac:dyDescent="0.25">
      <c r="A35" s="1"/>
      <c r="B35" s="116" t="s">
        <v>215</v>
      </c>
      <c r="C35" s="117"/>
      <c r="D35" s="117"/>
      <c r="E35" s="117"/>
      <c r="F35" s="118"/>
      <c r="G35" s="23">
        <f>(G29+G30-G31)*(1+'Fane 15. Nøgletal'!C14)</f>
        <v>21939562.955155302</v>
      </c>
      <c r="H35" s="14" t="s">
        <v>3</v>
      </c>
      <c r="I35" s="1"/>
    </row>
    <row r="36" spans="1:9" x14ac:dyDescent="0.25">
      <c r="A36" s="1"/>
      <c r="B36" s="116" t="s">
        <v>251</v>
      </c>
      <c r="C36" s="117"/>
      <c r="D36" s="117"/>
      <c r="E36" s="117"/>
      <c r="F36" s="118"/>
      <c r="G36" s="63">
        <v>531044.62129573012</v>
      </c>
      <c r="H36" s="14" t="s">
        <v>3</v>
      </c>
      <c r="I36" s="1"/>
    </row>
    <row r="37" spans="1:9" x14ac:dyDescent="0.25">
      <c r="A37" s="1"/>
      <c r="B37" s="116" t="s">
        <v>131</v>
      </c>
      <c r="C37" s="117"/>
      <c r="D37" s="117"/>
      <c r="E37" s="117"/>
      <c r="F37" s="118"/>
      <c r="G37" s="23">
        <f>(G35+G36)*'Fane 15. Nøgletal'!C26</f>
        <v>332564.9921314753</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3" t="s">
        <v>151</v>
      </c>
      <c r="C40" s="114"/>
      <c r="D40" s="114"/>
      <c r="E40" s="114"/>
      <c r="F40" s="114"/>
      <c r="G40" s="114"/>
      <c r="H40" s="115"/>
      <c r="I40" s="1"/>
    </row>
    <row r="41" spans="1:9" x14ac:dyDescent="0.25">
      <c r="A41" s="1"/>
      <c r="B41" s="116" t="s">
        <v>216</v>
      </c>
      <c r="C41" s="117"/>
      <c r="D41" s="117"/>
      <c r="E41" s="117"/>
      <c r="F41" s="118"/>
      <c r="G41" s="23">
        <f>(G35+G36-G37)*(1+'Fane 15. Nøgletal'!C14)</f>
        <v>22211098.124847814</v>
      </c>
      <c r="H41" s="14" t="s">
        <v>3</v>
      </c>
      <c r="I41" s="1"/>
    </row>
    <row r="42" spans="1:9" x14ac:dyDescent="0.25">
      <c r="A42" s="1"/>
      <c r="B42" s="40" t="s">
        <v>156</v>
      </c>
      <c r="C42" s="78"/>
      <c r="D42" s="78"/>
      <c r="E42" s="78"/>
      <c r="F42" s="79"/>
      <c r="G42" s="23">
        <v>20562.416693280004</v>
      </c>
      <c r="H42" s="14" t="s">
        <v>3</v>
      </c>
      <c r="I42" s="1"/>
    </row>
    <row r="43" spans="1:9" x14ac:dyDescent="0.25">
      <c r="A43" s="1"/>
      <c r="B43" s="116" t="s">
        <v>132</v>
      </c>
      <c r="C43" s="117"/>
      <c r="D43" s="117"/>
      <c r="E43" s="117"/>
      <c r="F43" s="118"/>
      <c r="G43" s="23">
        <f>(G41)*'Fane 15. Nøgletal'!C26+G42*'Fane 15. Nøgletal'!C27</f>
        <v>328724.25224774767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3" t="s">
        <v>259</v>
      </c>
      <c r="C52" s="114"/>
      <c r="D52" s="114"/>
      <c r="E52" s="114"/>
      <c r="F52" s="114"/>
      <c r="G52" s="114"/>
      <c r="H52" s="115"/>
      <c r="I52" s="1"/>
    </row>
    <row r="53" spans="1:9" x14ac:dyDescent="0.25">
      <c r="A53" s="1"/>
      <c r="B53" s="116" t="s">
        <v>217</v>
      </c>
      <c r="C53" s="117"/>
      <c r="D53" s="117"/>
      <c r="E53" s="117"/>
      <c r="F53" s="118"/>
      <c r="G53" s="23">
        <f>(G41+G42-G43)*(1+'Fane 15. Nøgletal'!C16)</f>
        <v>23672693.541468251</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836308.8503929599</v>
      </c>
      <c r="H54" s="14" t="s">
        <v>3</v>
      </c>
      <c r="I54" s="1"/>
    </row>
    <row r="55" spans="1:9" x14ac:dyDescent="0.25">
      <c r="A55" s="1"/>
      <c r="B55" s="116" t="s">
        <v>218</v>
      </c>
      <c r="C55" s="117"/>
      <c r="D55" s="117"/>
      <c r="E55" s="117"/>
      <c r="F55" s="118"/>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3" t="s">
        <v>258</v>
      </c>
      <c r="C58" s="114"/>
      <c r="D58" s="114"/>
      <c r="E58" s="114"/>
      <c r="F58" s="114"/>
      <c r="G58" s="114"/>
      <c r="H58" s="115"/>
      <c r="I58" s="1"/>
    </row>
    <row r="59" spans="1:9" x14ac:dyDescent="0.25">
      <c r="A59" s="1"/>
      <c r="B59" s="116" t="s">
        <v>219</v>
      </c>
      <c r="C59" s="117"/>
      <c r="D59" s="117"/>
      <c r="E59" s="117"/>
      <c r="F59" s="118"/>
      <c r="G59" s="23">
        <f>(G53+G54-G55)*(1+'Fane 15. Nøgletal'!C16)</f>
        <v>26489329.785123598</v>
      </c>
      <c r="H59" s="14" t="s">
        <v>3</v>
      </c>
      <c r="I59" s="1"/>
    </row>
    <row r="60" spans="1:9" x14ac:dyDescent="0.25">
      <c r="A60" s="1"/>
      <c r="B60" s="116" t="s">
        <v>220</v>
      </c>
      <c r="C60" s="117"/>
      <c r="D60" s="117"/>
      <c r="E60" s="117"/>
      <c r="F60" s="118"/>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3" t="s">
        <v>141</v>
      </c>
      <c r="C63" s="114"/>
      <c r="D63" s="114"/>
      <c r="E63" s="114"/>
      <c r="F63" s="114"/>
      <c r="G63" s="114"/>
      <c r="H63" s="115"/>
      <c r="I63" s="1"/>
    </row>
    <row r="64" spans="1:9" x14ac:dyDescent="0.25">
      <c r="A64" s="1"/>
      <c r="B64" s="116" t="s">
        <v>221</v>
      </c>
      <c r="C64" s="117"/>
      <c r="D64" s="117"/>
      <c r="E64" s="117"/>
      <c r="F64" s="118"/>
      <c r="G64" s="23">
        <f>(G59-G60)*(1+'Fane 15. Nøgletal'!C16)</f>
        <v>28629667.631761584</v>
      </c>
      <c r="H64" s="14" t="s">
        <v>3</v>
      </c>
      <c r="I64" s="1"/>
    </row>
    <row r="65" spans="1:9" x14ac:dyDescent="0.25">
      <c r="A65" s="1"/>
      <c r="B65" s="116" t="s">
        <v>222</v>
      </c>
      <c r="C65" s="117"/>
      <c r="D65" s="117"/>
      <c r="E65" s="117"/>
      <c r="F65" s="118"/>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3" t="s">
        <v>223</v>
      </c>
      <c r="C68" s="114"/>
      <c r="D68" s="114"/>
      <c r="E68" s="114"/>
      <c r="F68" s="114"/>
      <c r="G68" s="114"/>
      <c r="H68" s="115"/>
      <c r="I68" s="1"/>
    </row>
    <row r="69" spans="1:9" x14ac:dyDescent="0.25">
      <c r="A69" s="1"/>
      <c r="B69" s="116" t="s">
        <v>221</v>
      </c>
      <c r="C69" s="117"/>
      <c r="D69" s="117"/>
      <c r="E69" s="117"/>
      <c r="F69" s="118"/>
      <c r="G69" s="23">
        <f>(G64-G65)*(1+'Fane 15. Nøgletal'!C16)</f>
        <v>30942944.77640792</v>
      </c>
      <c r="H69" s="14" t="s">
        <v>3</v>
      </c>
      <c r="I69" s="1"/>
    </row>
    <row r="70" spans="1:9" x14ac:dyDescent="0.25">
      <c r="A70" s="1"/>
      <c r="B70" s="116" t="s">
        <v>222</v>
      </c>
      <c r="C70" s="117"/>
      <c r="D70" s="117"/>
      <c r="E70" s="117"/>
      <c r="F70" s="118"/>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3" t="s">
        <v>10</v>
      </c>
      <c r="C8" s="114"/>
      <c r="D8" s="114"/>
      <c r="E8" s="114"/>
      <c r="F8" s="114"/>
      <c r="G8" s="115"/>
      <c r="H8" s="1"/>
    </row>
    <row r="9" spans="1:8" x14ac:dyDescent="0.25">
      <c r="A9" s="1"/>
      <c r="B9" s="116" t="s">
        <v>271</v>
      </c>
      <c r="C9" s="117"/>
      <c r="D9" s="117"/>
      <c r="E9" s="117"/>
      <c r="F9" s="118"/>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Paul Lynggård Hansen</cp:lastModifiedBy>
  <cp:lastPrinted>2016-06-14T12:57:30Z</cp:lastPrinted>
  <dcterms:created xsi:type="dcterms:W3CDTF">2016-06-02T08:51:18Z</dcterms:created>
  <dcterms:modified xsi:type="dcterms:W3CDTF">2025-12-02T09:24:01Z</dcterms:modified>
</cp:coreProperties>
</file>