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TREFOR Vand AS (V188)\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workbook>
</file>

<file path=xl/calcChain.xml><?xml version="1.0" encoding="utf-8"?>
<calcChain xmlns="http://schemas.openxmlformats.org/spreadsheetml/2006/main">
  <c r="C15" i="19" l="1"/>
  <c r="F10" i="11" l="1"/>
  <c r="E30" i="27" l="1"/>
  <c r="C19" i="23"/>
  <c r="C19" i="22"/>
  <c r="C19" i="15"/>
  <c r="C31" i="2"/>
  <c r="G18" i="40" l="1"/>
  <c r="E25" i="32" l="1"/>
  <c r="E29" i="32" s="1"/>
  <c r="E31" i="32" s="1"/>
  <c r="C17" i="15" l="1"/>
  <c r="C29" i="2"/>
  <c r="E12" i="39" l="1"/>
  <c r="C12" i="39"/>
  <c r="E11" i="29"/>
  <c r="E12" i="29" s="1"/>
  <c r="C14" i="2" s="1"/>
  <c r="C11" i="29"/>
  <c r="J11" i="11"/>
  <c r="H11" i="11"/>
  <c r="C16"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18" i="27"/>
  <c r="G43" i="36"/>
  <c r="C18" i="2" s="1"/>
  <c r="C8" i="2" l="1"/>
  <c r="C15" i="2" s="1"/>
  <c r="C16" i="2" s="1"/>
  <c r="C19" i="2" s="1"/>
  <c r="C8" i="15" s="1"/>
  <c r="E31"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<sst xmlns="http://schemas.openxmlformats.org/spreadsheetml/2006/main" count="511" uniqueCount="255">
  <si>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</si>
  <si>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</si>
  <si>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</si>
  <si>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</si>
  <si>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</si>
  <si>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</si>
  <si>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</si>
  <si>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</si>
  <si>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</si>
  <si>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</si>
  <si>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</si>
  <si>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</si>
  <si>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</si>
  <si>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</si>
  <si>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</si>
  <si>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</si>
  <si>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</si>
  <si>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</si>
  <si>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</si>
  <si>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</si>
  <si>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</si>
  <si>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</si>
  <si>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</si>
  <si>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</si>
  <si>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</si>
  <si>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</si>
  <si>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</si>
  <si>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</si>
  <si>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</si>
  <si>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</si>
  <si>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</si>
  <si>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</si>
  <si>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</si>
  <si>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</si>
  <si>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</si>
  <si>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</si>
  <si>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</si>
  <si>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</si>
  <si>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</si>
  <si>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</si>
  <si>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</si>
  <si>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</si>
  <si>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</si>
  <si>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</si>
  <si>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</si>
  <si>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</si>
  <si>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</si>
  <si>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</si>
  <si>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</si>
  <si>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</si>
  <si>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</si>
  <si>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</si>
  <si>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</si>
  <si>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</si>
  <si>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</si>
  <si>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</si>
  <si>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</si>
  <si>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</si>
  <si>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</si>
  <si>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</si>
  <si>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</si>
  <si>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</si>
  <si>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</si>
  <si>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</si>
  <si>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</si>
  <si>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</si>
  <si>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</si>
  <si>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</si>
  <si>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</si>
  <si>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</si>
  <si>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</si>
  <si>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</si>
  <si>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</si>
  <si>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</si>
  <si>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</si>
  <si>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</si>
  <si>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</si>
  <si>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</si>
  <si>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</si>
  <si>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</si>
  <si>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</si>
  <si>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</si>
  <si>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</si>
  <si>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</si>
  <si>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</si>
  <si>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</si>
  <si>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</si>
  <si>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</si>
  <si>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</si>
  <si>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</si>
  <si>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</si>
  <si>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</si>
  <si>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</si>
  <si>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</si>
  <si>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</si>
  <si>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</si>
  <si>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</si>
  <si>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</si>
  <si>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</si>
  <si>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</si>
  <si>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</si>
  <si>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</si>
  <si>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</si>
  <si>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</si>
  <si>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</si>
  <si>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</si>
  <si>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</si>
  <si>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</si>
  <si>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</si>
  <si>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</si>
  <si>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</si>
  <si>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</si>
  <si>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</si>
  <si>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</si>
  <si>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</si>
  <si>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</si>
  <si>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</si>
  <si>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</si>
  <si>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</si>
  <si>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</si>
  <si>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</si>
  <si>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</si>
  <si>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</si>
  <si>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</si>
  <si>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</si>
  <si>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</si>
  <si>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</si>
  <si>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</si>
  <si>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</si>
  <si>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</si>
  <si>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</si>
  <si>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</si>
  <si>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</si>
  <si>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</si>
  <si>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</si>
  <si>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</si>
  <si>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</si>
  <si>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</si>
  <si>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</si>
  <si>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</si>
  <si>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</si>
  <si>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</si>
  <si>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</si>
  <si>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</si>
  <si>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</si>
  <si>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</si>
  <si>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</si>
  <si>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</si>
  <si>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</si>
  <si>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</si>
  <si>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</si>
  <si>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</si>
  <si>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</si>
  <si>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</si>
  <si>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</si>
  <si>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</si>
  <si>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</si>
  <si>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</si>
  <si>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</si>
  <si>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</si>
  <si>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</si>
  <si>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</si>
  <si>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</si>
  <si>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</si>
  <si>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</si>
  <si>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</si>
  <si>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</si>
  <si>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</si>
  <si>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</si>
  <si>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</si>
  <si>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</si>
  <si>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</si>
  <si>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</si>
  <si>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</si>
  <si>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</si>
  <si>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</si>
  <si>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</si>
  <si>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</si>
  <si>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</si>
  <si>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</si>
  <si>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</si>
  <si>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</si>
  <si>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</si>
  <si>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</si>
  <si>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</si>
  <si>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</si>
  <si>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</si>
  <si>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</si>
  <si>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</si>
  <si>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</si>
  <si>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</si>
  <si>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</si>
  <si>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</si>
  <si>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</si>
  <si>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</si>
  <si>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</si>
  <si>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</si>
  <si>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</si>
  <si>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</si>
  <si>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</si>
  <si>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</si>
  <si>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</si>
  <si>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</si>
  <si>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</si>
  <si>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</si>
  <si>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</si>
  <si>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</si>
  <si>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</si>
  <si>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</si>
  <si>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</si>
  <si>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</si>
  <si>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</si>
  <si>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</si>
  <si>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</si>
  <si>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</si>
  <si>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</si>
  <si>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</si>
  <si>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</si>
  <si>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</si>
  <si>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</si>
  <si>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</si>
  <si>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</si>
  <si>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</si>
  <si>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</si>
  <si>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</si>
  <si>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</si>
  <si>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</si>
  <si>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</si>
  <si>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</si>
  <si>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</si>
  <si>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</si>
  <si>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</si>
  <si>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</si>
  <si>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</si>
  <si>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Tjenestemandspensioner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</si>
  <si>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</si>
  <si>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</si>
  <si>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</si>
  <si>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</si>
  <si>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</si>
  <si>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</si>
  <si>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</si>
  <si>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Udvidelser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</si>
  <si>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</si>
  <si>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</si>
  <si>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</si>
  <si>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</si>
  <si>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</si>
  <si>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</si>
  <si>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</si>
  <si>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</si>
  <si>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</si>
  <si>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</si>
  <si>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 xml:space="preserve">Ingen engangstillæg </t>
  </si>
  <si>
    <t>Aftaler om dyrkningsrestriktioner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</si>
</sst>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
      <sz val="11"/>
      <color rgb="FFFF0000"/>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16" fillId="0" borderId="0" xfId="0" applyFont="1" applyFill="1" applyProtection="1"/>
    <xf numFmtId="0" fontId="0" fillId="0" borderId="0" xfId="0" applyFill="1" applyAlignment="1" applyProtection="1">
      <alignment horizontal="right"/>
    </xf>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2"/>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6" t="s">
        <v>4</v>
      </c>
      <c r="E6" s="96"/>
      <c r="F6" s="96"/>
      <c r="G6" s="96"/>
      <c r="H6" s="3"/>
      <c r="I6" s="1"/>
    </row>
    <row r="7" spans="1:9" ht="15" customHeight="1" x14ac:dyDescent="0.25">
      <c r="A7" s="1"/>
      <c r="B7" s="1"/>
      <c r="C7" s="3"/>
      <c r="D7" s="96"/>
      <c r="E7" s="96"/>
      <c r="F7" s="96"/>
      <c r="G7" s="96"/>
      <c r="H7" s="3"/>
      <c r="I7" s="1"/>
    </row>
    <row r="8" spans="1:9" ht="15.75" x14ac:dyDescent="0.25">
      <c r="A8" s="1"/>
      <c r="B8" s="1"/>
      <c r="C8" s="4"/>
      <c r="D8" s="98" t="s">
        <v>194</v>
      </c>
      <c r="E8" s="98"/>
      <c r="F8" s="98"/>
      <c r="G8" s="98"/>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7" t="s">
        <v>5</v>
      </c>
      <c r="E11" s="97"/>
      <c r="F11" s="97"/>
      <c r="G11" s="97"/>
      <c r="H11" s="5"/>
      <c r="I11" s="1"/>
    </row>
    <row r="12" spans="1:9" x14ac:dyDescent="0.25">
      <c r="A12" s="1"/>
      <c r="B12" s="1"/>
      <c r="C12" s="1"/>
      <c r="D12" s="1"/>
      <c r="E12" s="1"/>
      <c r="F12" s="1"/>
      <c r="G12" s="1"/>
      <c r="H12" s="1"/>
      <c r="I12" s="1"/>
    </row>
    <row r="13" spans="1:9" x14ac:dyDescent="0.25">
      <c r="A13" s="1"/>
      <c r="B13" s="1"/>
      <c r="C13" s="6" t="s">
        <v>6</v>
      </c>
      <c r="D13" s="93" t="s">
        <v>161</v>
      </c>
      <c r="E13" s="94"/>
      <c r="F13" s="94"/>
      <c r="G13" s="95"/>
      <c r="H13" s="1"/>
      <c r="I13" s="1"/>
    </row>
    <row r="14" spans="1:9" x14ac:dyDescent="0.25">
      <c r="A14" s="1"/>
      <c r="B14" s="1"/>
      <c r="C14" s="6" t="s">
        <v>14</v>
      </c>
      <c r="D14" s="93" t="s">
        <v>204</v>
      </c>
      <c r="E14" s="94"/>
      <c r="F14" s="94"/>
      <c r="G14" s="95"/>
      <c r="H14" s="1"/>
      <c r="I14" s="1"/>
    </row>
    <row r="15" spans="1:9" x14ac:dyDescent="0.25">
      <c r="A15" s="1"/>
      <c r="B15" s="1"/>
      <c r="C15" s="6" t="s">
        <v>32</v>
      </c>
      <c r="D15" s="93" t="s">
        <v>137</v>
      </c>
      <c r="E15" s="94"/>
      <c r="F15" s="94"/>
      <c r="G15" s="95"/>
      <c r="H15" s="1"/>
      <c r="I15" s="1"/>
    </row>
    <row r="16" spans="1:9" x14ac:dyDescent="0.25">
      <c r="A16" s="1"/>
      <c r="B16" s="1"/>
      <c r="C16" s="6" t="s">
        <v>33</v>
      </c>
      <c r="D16" s="93" t="s">
        <v>162</v>
      </c>
      <c r="E16" s="94"/>
      <c r="F16" s="94"/>
      <c r="G16" s="95"/>
      <c r="H16" s="1"/>
      <c r="I16" s="1"/>
    </row>
    <row r="17" spans="1:9" x14ac:dyDescent="0.25">
      <c r="A17" s="1"/>
      <c r="B17" s="1"/>
      <c r="C17" s="6" t="s">
        <v>110</v>
      </c>
      <c r="D17" s="93" t="s">
        <v>163</v>
      </c>
      <c r="E17" s="94"/>
      <c r="F17" s="94"/>
      <c r="G17" s="95"/>
      <c r="H17" s="1"/>
      <c r="I17" s="1"/>
    </row>
    <row r="18" spans="1:9" x14ac:dyDescent="0.25">
      <c r="A18" s="1"/>
      <c r="B18" s="1"/>
      <c r="C18" s="6" t="s">
        <v>94</v>
      </c>
      <c r="D18" s="99" t="s">
        <v>86</v>
      </c>
      <c r="E18" s="100"/>
      <c r="F18" s="100"/>
      <c r="G18" s="101"/>
      <c r="H18" s="1"/>
      <c r="I18" s="1"/>
    </row>
    <row r="19" spans="1:9" x14ac:dyDescent="0.25">
      <c r="A19" s="1"/>
      <c r="B19" s="1"/>
      <c r="C19" s="6" t="s">
        <v>95</v>
      </c>
      <c r="D19" s="99" t="s">
        <v>87</v>
      </c>
      <c r="E19" s="100"/>
      <c r="F19" s="100"/>
      <c r="G19" s="101"/>
      <c r="H19" s="1"/>
      <c r="I19" s="1"/>
    </row>
    <row r="20" spans="1:9" x14ac:dyDescent="0.25">
      <c r="A20" s="1"/>
      <c r="B20" s="1"/>
      <c r="C20" s="6" t="s">
        <v>7</v>
      </c>
      <c r="D20" s="99" t="s">
        <v>9</v>
      </c>
      <c r="E20" s="100"/>
      <c r="F20" s="100"/>
      <c r="G20" s="101"/>
      <c r="H20" s="1"/>
      <c r="I20" s="1"/>
    </row>
    <row r="21" spans="1:9" x14ac:dyDescent="0.25">
      <c r="A21" s="1"/>
      <c r="B21" s="1"/>
      <c r="C21" s="6" t="s">
        <v>96</v>
      </c>
      <c r="D21" s="90" t="s">
        <v>11</v>
      </c>
      <c r="E21" s="91"/>
      <c r="F21" s="91"/>
      <c r="G21" s="92"/>
      <c r="H21" s="1"/>
      <c r="I21" s="1"/>
    </row>
    <row r="22" spans="1:9" x14ac:dyDescent="0.25">
      <c r="A22" s="1"/>
      <c r="B22" s="1"/>
      <c r="C22" s="6" t="s">
        <v>78</v>
      </c>
      <c r="D22" s="84" t="s">
        <v>164</v>
      </c>
      <c r="E22" s="85"/>
      <c r="F22" s="85"/>
      <c r="G22" s="86"/>
      <c r="H22" s="1"/>
      <c r="I22" s="1"/>
    </row>
    <row r="23" spans="1:9" x14ac:dyDescent="0.25">
      <c r="A23" s="1"/>
      <c r="B23" s="1"/>
      <c r="C23" s="6" t="s">
        <v>8</v>
      </c>
      <c r="D23" s="84" t="s">
        <v>219</v>
      </c>
      <c r="E23" s="85"/>
      <c r="F23" s="85"/>
      <c r="G23" s="86"/>
      <c r="H23" s="1"/>
      <c r="I23" s="1"/>
    </row>
    <row r="24" spans="1:9" x14ac:dyDescent="0.25">
      <c r="A24" s="1"/>
      <c r="B24" s="1"/>
      <c r="C24" s="6" t="s">
        <v>215</v>
      </c>
      <c r="D24" s="84" t="s">
        <v>205</v>
      </c>
      <c r="E24" s="85"/>
      <c r="F24" s="85"/>
      <c r="G24" s="86"/>
      <c r="H24" s="1"/>
      <c r="I24" s="1"/>
    </row>
    <row r="25" spans="1:9" x14ac:dyDescent="0.25">
      <c r="A25" s="1"/>
      <c r="B25" s="1"/>
      <c r="C25" s="6" t="s">
        <v>216</v>
      </c>
      <c r="D25" s="84" t="s">
        <v>79</v>
      </c>
      <c r="E25" s="85"/>
      <c r="F25" s="85"/>
      <c r="G25" s="86"/>
      <c r="H25" s="1"/>
      <c r="I25" s="1"/>
    </row>
    <row r="26" spans="1:9" x14ac:dyDescent="0.25">
      <c r="A26" s="1"/>
      <c r="B26" s="1"/>
      <c r="C26" s="6" t="s">
        <v>217</v>
      </c>
      <c r="D26" s="84" t="s">
        <v>80</v>
      </c>
      <c r="E26" s="85"/>
      <c r="F26" s="85"/>
      <c r="G26" s="86"/>
      <c r="H26" s="1"/>
      <c r="I26" s="1"/>
    </row>
    <row r="27" spans="1:9" x14ac:dyDescent="0.25">
      <c r="A27" s="1"/>
      <c r="B27" s="1"/>
      <c r="C27" s="6" t="s">
        <v>97</v>
      </c>
      <c r="D27" s="84" t="s">
        <v>111</v>
      </c>
      <c r="E27" s="85"/>
      <c r="F27" s="85"/>
      <c r="G27" s="86"/>
      <c r="H27" s="1"/>
      <c r="I27" s="1"/>
    </row>
    <row r="28" spans="1:9" x14ac:dyDescent="0.25">
      <c r="A28" s="1"/>
      <c r="B28" s="1"/>
      <c r="C28" s="6" t="s">
        <v>91</v>
      </c>
      <c r="D28" s="84" t="s">
        <v>34</v>
      </c>
      <c r="E28" s="85"/>
      <c r="F28" s="85"/>
      <c r="G28" s="86"/>
      <c r="H28" s="1"/>
      <c r="I28" s="1"/>
    </row>
    <row r="29" spans="1:9" x14ac:dyDescent="0.25">
      <c r="A29" s="1"/>
      <c r="B29" s="1"/>
      <c r="C29" s="6" t="s">
        <v>218</v>
      </c>
      <c r="D29" s="87" t="s">
        <v>92</v>
      </c>
      <c r="E29" s="88"/>
      <c r="F29" s="88"/>
      <c r="G29" s="89"/>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5"/>
      <c r="B51" s="55"/>
      <c r="C51" s="55"/>
      <c r="D51" s="55"/>
      <c r="E51" s="55"/>
      <c r="F51" s="55"/>
      <c r="G51" s="55"/>
      <c r="H51" s="55"/>
      <c r="I51" s="55"/>
    </row>
    <row r="52" spans="1:9" x14ac:dyDescent="0.25">
      <c r="A52" s="55"/>
      <c r="B52" s="55"/>
      <c r="C52" s="55"/>
      <c r="D52" s="55"/>
      <c r="E52" s="55"/>
      <c r="F52" s="55"/>
      <c r="G52" s="55"/>
      <c r="H52" s="55"/>
      <c r="I52" s="55"/>
    </row>
  </sheetData>
  <sheetProtection algorithmName="SHA-512" hashValue="+MlTd/wpv2yPxeTm+Iv0yrI+OVtR6fgDFuqbczZjhXkNe60A62sfbyPKmOz96dugsrbiFnrh02ZgYGuq7ctVUA==" saltValue="jX9aRfFntvIOswjjW0seh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2" t="s">
        <v>100</v>
      </c>
      <c r="C3" s="102"/>
      <c r="D3" s="102"/>
      <c r="E3" s="1"/>
      <c r="F3" s="1"/>
    </row>
    <row r="4" spans="1:6" ht="15" customHeight="1" x14ac:dyDescent="0.25">
      <c r="A4" s="1"/>
      <c r="B4" s="102"/>
      <c r="C4" s="102"/>
      <c r="D4" s="102"/>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5" t="s">
        <v>181</v>
      </c>
      <c r="C8" s="126"/>
      <c r="D8" s="127"/>
      <c r="E8" s="1"/>
      <c r="F8" s="1"/>
    </row>
    <row r="9" spans="1:6" ht="15" customHeight="1" x14ac:dyDescent="0.25">
      <c r="A9" s="1"/>
      <c r="B9" s="33" t="s">
        <v>30</v>
      </c>
      <c r="C9" s="11" t="s">
        <v>212</v>
      </c>
      <c r="D9" s="11"/>
      <c r="E9" s="1"/>
      <c r="F9" s="1"/>
    </row>
    <row r="10" spans="1:6" x14ac:dyDescent="0.25">
      <c r="A10" s="1"/>
      <c r="B10" s="81" t="s">
        <v>231</v>
      </c>
      <c r="C10" s="9">
        <v>69229416</v>
      </c>
      <c r="D10" s="14" t="s">
        <v>3</v>
      </c>
      <c r="E10" s="1"/>
      <c r="F10" s="1"/>
    </row>
    <row r="11" spans="1:6" x14ac:dyDescent="0.25">
      <c r="A11" s="1"/>
      <c r="B11" s="81" t="s">
        <v>232</v>
      </c>
      <c r="C11" s="9">
        <v>367808</v>
      </c>
      <c r="D11" s="14" t="s">
        <v>3</v>
      </c>
      <c r="E11" s="1"/>
      <c r="F11" s="1"/>
    </row>
    <row r="12" spans="1:6" x14ac:dyDescent="0.25">
      <c r="A12" s="1"/>
      <c r="B12" s="81" t="s">
        <v>233</v>
      </c>
      <c r="C12" s="9">
        <v>327973</v>
      </c>
      <c r="D12" s="14" t="s">
        <v>3</v>
      </c>
      <c r="E12" s="1"/>
      <c r="F12" s="1"/>
    </row>
    <row r="13" spans="1:6" x14ac:dyDescent="0.25">
      <c r="A13" s="1"/>
      <c r="B13" s="81" t="s">
        <v>234</v>
      </c>
      <c r="C13" s="9">
        <v>444237</v>
      </c>
      <c r="D13" s="14" t="s">
        <v>3</v>
      </c>
      <c r="E13" s="1"/>
      <c r="F13" s="1"/>
    </row>
    <row r="14" spans="1:6" x14ac:dyDescent="0.25">
      <c r="A14" s="1"/>
      <c r="B14" s="81" t="s">
        <v>254</v>
      </c>
      <c r="C14" s="9">
        <v>447835</v>
      </c>
      <c r="D14" s="14" t="s">
        <v>3</v>
      </c>
      <c r="E14" s="1"/>
      <c r="F14" s="1"/>
    </row>
    <row r="15" spans="1:6" x14ac:dyDescent="0.25">
      <c r="A15" s="1"/>
      <c r="B15" s="69" t="s">
        <v>182</v>
      </c>
      <c r="C15" s="12">
        <f>SUM(C10:C14)</f>
        <v>70817269</v>
      </c>
      <c r="D15" s="13" t="s">
        <v>3</v>
      </c>
      <c r="E15" s="1"/>
      <c r="F15" s="1"/>
    </row>
    <row r="16" spans="1:6" x14ac:dyDescent="0.25">
      <c r="A16" s="1"/>
      <c r="B16" s="69" t="s">
        <v>183</v>
      </c>
      <c r="C16" s="12">
        <f>C15*(1+'Fane 13. Nøgletal'!C15)^2</f>
        <v>75949209.526839852</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64"/>
      <c r="B52" s="64"/>
      <c r="C52" s="64"/>
      <c r="D52" s="64"/>
      <c r="E52" s="64"/>
      <c r="F52" s="64"/>
    </row>
  </sheetData>
  <sheetProtection algorithmName="SHA-512" hashValue="jIbhHFNu7OrUUOH3sBV9rx2z/GHiAZJWfzBiQao1hneZBcr1cKkBbfcfomW3gLNzMfKmcUotv/tHBPxLDhNqxg==" saltValue="pz3kzSfWBQWxwcIGilU4N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710937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0" t="s">
        <v>184</v>
      </c>
      <c r="C3" s="110"/>
      <c r="D3" s="110"/>
      <c r="E3" s="110"/>
      <c r="F3" s="110"/>
      <c r="G3" s="1"/>
    </row>
    <row r="4" spans="1:7" ht="15" customHeight="1" x14ac:dyDescent="0.25">
      <c r="A4" s="1"/>
      <c r="B4" s="110"/>
      <c r="C4" s="110"/>
      <c r="D4" s="110"/>
      <c r="E4" s="110"/>
      <c r="F4" s="110"/>
      <c r="G4" s="1"/>
    </row>
    <row r="5" spans="1:7" ht="15" customHeight="1" x14ac:dyDescent="0.25">
      <c r="A5" s="1"/>
      <c r="B5" s="76"/>
      <c r="C5" s="76"/>
      <c r="D5" s="76"/>
      <c r="E5" s="76"/>
      <c r="F5" s="76"/>
      <c r="G5" s="1"/>
    </row>
    <row r="6" spans="1:7" ht="15" customHeight="1" x14ac:dyDescent="0.25">
      <c r="A6" s="1"/>
      <c r="B6" s="76"/>
      <c r="C6" s="76"/>
      <c r="D6" s="76"/>
      <c r="E6" s="76"/>
      <c r="F6" s="76"/>
      <c r="G6" s="1"/>
    </row>
    <row r="7" spans="1:7" x14ac:dyDescent="0.25">
      <c r="A7" s="1"/>
      <c r="B7" s="1"/>
      <c r="C7" s="1"/>
      <c r="D7" s="1"/>
      <c r="E7" s="1"/>
      <c r="F7" s="1"/>
      <c r="G7" s="1"/>
    </row>
    <row r="8" spans="1:7" x14ac:dyDescent="0.25">
      <c r="A8" s="1"/>
      <c r="B8" s="125" t="s">
        <v>155</v>
      </c>
      <c r="C8" s="126"/>
      <c r="D8" s="126"/>
      <c r="E8" s="126"/>
      <c r="F8" s="127"/>
      <c r="G8" s="1"/>
    </row>
    <row r="9" spans="1:7" x14ac:dyDescent="0.25">
      <c r="A9" s="1"/>
      <c r="B9" s="128" t="s">
        <v>156</v>
      </c>
      <c r="C9" s="129"/>
      <c r="D9" s="130"/>
      <c r="E9" s="9">
        <v>16584451</v>
      </c>
      <c r="F9" s="14" t="s">
        <v>3</v>
      </c>
      <c r="G9" s="1"/>
    </row>
    <row r="10" spans="1:7" x14ac:dyDescent="0.25">
      <c r="A10" s="1"/>
      <c r="B10" s="143" t="s">
        <v>235</v>
      </c>
      <c r="C10" s="144"/>
      <c r="D10" s="145"/>
      <c r="E10" s="9">
        <v>16584451</v>
      </c>
      <c r="F10" s="54" t="s">
        <v>3</v>
      </c>
      <c r="G10" s="1"/>
    </row>
    <row r="11" spans="1:7" x14ac:dyDescent="0.25">
      <c r="A11" s="1"/>
      <c r="B11" s="128" t="s">
        <v>185</v>
      </c>
      <c r="C11" s="129"/>
      <c r="D11" s="130"/>
      <c r="E11" s="9">
        <v>9397962.70178473</v>
      </c>
      <c r="F11" s="14" t="s">
        <v>3</v>
      </c>
      <c r="G11" s="1"/>
    </row>
    <row r="12" spans="1:7" x14ac:dyDescent="0.25">
      <c r="A12" s="1"/>
      <c r="B12" s="69"/>
      <c r="C12" s="70"/>
      <c r="D12" s="70"/>
      <c r="E12" s="70"/>
      <c r="F12" s="19"/>
      <c r="G12" s="1"/>
    </row>
    <row r="13" spans="1:7" ht="64.900000000000006" customHeight="1" x14ac:dyDescent="0.25">
      <c r="A13" s="1"/>
      <c r="B13" s="114" t="s">
        <v>251</v>
      </c>
      <c r="C13" s="115"/>
      <c r="D13" s="115"/>
      <c r="E13" s="115"/>
      <c r="F13" s="116"/>
      <c r="G13" s="1"/>
    </row>
    <row r="14" spans="1:7" ht="27" customHeight="1" x14ac:dyDescent="0.25">
      <c r="A14" s="1"/>
      <c r="B14" s="1"/>
      <c r="C14" s="1"/>
      <c r="D14" s="1"/>
      <c r="E14" s="1"/>
      <c r="F14" s="1"/>
      <c r="G14" s="1"/>
    </row>
    <row r="15" spans="1:7" ht="28.5" customHeight="1" x14ac:dyDescent="0.25">
      <c r="A15" s="1"/>
      <c r="B15" s="125" t="s">
        <v>157</v>
      </c>
      <c r="C15" s="126"/>
      <c r="D15" s="126"/>
      <c r="E15" s="126"/>
      <c r="F15" s="127"/>
      <c r="G15" s="1"/>
    </row>
    <row r="16" spans="1:7" x14ac:dyDescent="0.25">
      <c r="A16" s="1"/>
      <c r="B16" s="128" t="s">
        <v>236</v>
      </c>
      <c r="C16" s="129"/>
      <c r="D16" s="130"/>
      <c r="E16" s="9">
        <v>0</v>
      </c>
      <c r="F16" s="14" t="s">
        <v>3</v>
      </c>
      <c r="G16" s="1"/>
    </row>
    <row r="17" spans="1:7" x14ac:dyDescent="0.25">
      <c r="A17" s="1"/>
      <c r="B17" s="128" t="s">
        <v>237</v>
      </c>
      <c r="C17" s="129"/>
      <c r="D17" s="130"/>
      <c r="E17" s="9">
        <v>0</v>
      </c>
      <c r="F17" s="14" t="s">
        <v>3</v>
      </c>
      <c r="G17" s="1"/>
    </row>
    <row r="18" spans="1:7" x14ac:dyDescent="0.25">
      <c r="A18" s="1"/>
      <c r="B18" s="69"/>
      <c r="C18" s="70"/>
      <c r="D18" s="70"/>
      <c r="E18" s="70"/>
      <c r="F18" s="19"/>
      <c r="G18" s="1"/>
    </row>
    <row r="19" spans="1:7" ht="31.5" customHeight="1" x14ac:dyDescent="0.25">
      <c r="A19" s="1"/>
      <c r="B19" s="114" t="s">
        <v>158</v>
      </c>
      <c r="C19" s="115"/>
      <c r="D19" s="115"/>
      <c r="E19" s="115"/>
      <c r="F19" s="116"/>
      <c r="G19" s="1"/>
    </row>
    <row r="20" spans="1:7" ht="28.5" customHeight="1" x14ac:dyDescent="0.25">
      <c r="A20" s="1"/>
      <c r="B20" s="1"/>
      <c r="C20" s="1"/>
      <c r="D20" s="1"/>
      <c r="E20" s="1"/>
      <c r="F20" s="1"/>
      <c r="G20" s="1"/>
    </row>
    <row r="21" spans="1:7" ht="28.5" customHeight="1" x14ac:dyDescent="0.25">
      <c r="A21" s="1"/>
      <c r="B21" s="73" t="s">
        <v>186</v>
      </c>
      <c r="C21" s="74"/>
      <c r="D21" s="74"/>
      <c r="E21" s="74"/>
      <c r="F21" s="75"/>
      <c r="G21" s="1"/>
    </row>
    <row r="22" spans="1:7" x14ac:dyDescent="0.25">
      <c r="A22" s="1"/>
      <c r="B22" s="78" t="s">
        <v>238</v>
      </c>
      <c r="C22" s="79"/>
      <c r="D22" s="80"/>
      <c r="E22" s="9">
        <v>225343435.47231716</v>
      </c>
      <c r="F22" s="14" t="s">
        <v>3</v>
      </c>
      <c r="G22" s="1"/>
    </row>
    <row r="23" spans="1:7" x14ac:dyDescent="0.25">
      <c r="A23" s="1"/>
      <c r="B23" s="78" t="s">
        <v>187</v>
      </c>
      <c r="C23" s="79"/>
      <c r="D23" s="80"/>
      <c r="E23" s="9">
        <v>241483866</v>
      </c>
      <c r="F23" s="14" t="s">
        <v>3</v>
      </c>
      <c r="G23" s="1"/>
    </row>
    <row r="24" spans="1:7" x14ac:dyDescent="0.25">
      <c r="A24" s="1"/>
      <c r="B24" s="78" t="s">
        <v>31</v>
      </c>
      <c r="C24" s="79"/>
      <c r="D24" s="80"/>
      <c r="E24" s="9">
        <v>0</v>
      </c>
      <c r="F24" s="14" t="s">
        <v>3</v>
      </c>
      <c r="G24" s="1"/>
    </row>
    <row r="25" spans="1:7" x14ac:dyDescent="0.25">
      <c r="A25" s="1"/>
      <c r="B25" s="51" t="s">
        <v>252</v>
      </c>
      <c r="C25" s="52"/>
      <c r="D25" s="53"/>
      <c r="E25" s="57">
        <f>E22-(E23-E24)</f>
        <v>-16140430.527682841</v>
      </c>
      <c r="F25" s="17" t="s">
        <v>3</v>
      </c>
      <c r="G25" s="1"/>
    </row>
    <row r="26" spans="1:7" x14ac:dyDescent="0.25">
      <c r="A26" s="1"/>
      <c r="B26" s="69"/>
      <c r="C26" s="70"/>
      <c r="D26" s="70"/>
      <c r="E26" s="70"/>
      <c r="F26" s="19"/>
      <c r="G26" s="1"/>
    </row>
    <row r="27" spans="1:7" x14ac:dyDescent="0.25">
      <c r="A27" s="1"/>
      <c r="B27" s="1"/>
      <c r="C27" s="1"/>
      <c r="D27" s="1"/>
      <c r="E27" s="1"/>
      <c r="F27" s="1"/>
      <c r="G27" s="1"/>
    </row>
    <row r="28" spans="1:7" ht="28.5" customHeight="1" x14ac:dyDescent="0.25">
      <c r="A28" s="1"/>
      <c r="B28" s="125" t="s">
        <v>239</v>
      </c>
      <c r="C28" s="126"/>
      <c r="D28" s="126"/>
      <c r="E28" s="126"/>
      <c r="F28" s="127"/>
      <c r="G28" s="1"/>
    </row>
    <row r="29" spans="1:7" x14ac:dyDescent="0.25">
      <c r="A29" s="1"/>
      <c r="B29" s="146" t="s">
        <v>128</v>
      </c>
      <c r="C29" s="147"/>
      <c r="D29" s="148"/>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-6742467.8258981109</v>
      </c>
      <c r="F29" s="14" t="s">
        <v>3</v>
      </c>
      <c r="G29" s="1"/>
    </row>
    <row r="30" spans="1:7" x14ac:dyDescent="0.25">
      <c r="A30" s="1"/>
      <c r="B30" s="146" t="s">
        <v>93</v>
      </c>
      <c r="C30" s="147"/>
      <c r="D30" s="148"/>
      <c r="E30" s="9">
        <v>2</v>
      </c>
      <c r="F30" s="14" t="s">
        <v>18</v>
      </c>
      <c r="G30" s="1"/>
    </row>
    <row r="31" spans="1:7" x14ac:dyDescent="0.25">
      <c r="A31" s="1"/>
      <c r="B31" s="139" t="s">
        <v>127</v>
      </c>
      <c r="C31" s="139"/>
      <c r="D31" s="139"/>
      <c r="E31" s="10">
        <f>E29/E30</f>
        <v>-3371233.9129490554</v>
      </c>
      <c r="F31" s="17" t="s">
        <v>3</v>
      </c>
      <c r="G31" s="1"/>
    </row>
    <row r="32" spans="1:7" x14ac:dyDescent="0.25">
      <c r="A32" s="1"/>
      <c r="B32" s="140"/>
      <c r="C32" s="141"/>
      <c r="D32" s="141"/>
      <c r="E32" s="141"/>
      <c r="F32" s="142"/>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pw+Zl9wm/Y+hjiPJfzrgd12Ja8I1Y59HB1BRVrvoXUwfzI6taYMpW8P+W8o9Ric23Nx6yHyUfiSMZheGKIgpVg==" saltValue="gwHWLOUCt68A+bOJvhAEtA=="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140625" defaultRowHeight="15" x14ac:dyDescent="0.25"/>
  <cols>
    <col min="1" max="1" width="4.7109375" style="40" customWidth="1"/>
    <col min="2" max="2" width="22.5703125" style="40" customWidth="1"/>
    <col min="3" max="3" width="8.28515625" style="40" customWidth="1"/>
    <col min="4" max="6" width="10.7109375" style="40" customWidth="1"/>
    <col min="7" max="7" width="11.140625" style="40" customWidth="1"/>
    <col min="8" max="8" width="3.28515625" style="40" customWidth="1"/>
    <col min="9" max="9" width="4.85546875" style="40" customWidth="1"/>
    <col min="10" max="16384" width="9.140625"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2" t="s">
        <v>226</v>
      </c>
      <c r="C3" s="102"/>
      <c r="D3" s="102"/>
      <c r="E3" s="102"/>
      <c r="F3" s="102"/>
      <c r="G3" s="102"/>
      <c r="H3" s="102"/>
      <c r="I3" s="1"/>
    </row>
    <row r="4" spans="1:9" ht="15" customHeight="1" x14ac:dyDescent="0.25">
      <c r="A4" s="1"/>
      <c r="B4" s="102"/>
      <c r="C4" s="102"/>
      <c r="D4" s="102"/>
      <c r="E4" s="102"/>
      <c r="F4" s="102"/>
      <c r="G4" s="102"/>
      <c r="H4" s="102"/>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5" t="s">
        <v>227</v>
      </c>
      <c r="C8" s="126"/>
      <c r="D8" s="126"/>
      <c r="E8" s="126"/>
      <c r="F8" s="126"/>
      <c r="G8" s="126"/>
      <c r="H8" s="127"/>
      <c r="I8" s="1"/>
    </row>
    <row r="9" spans="1:9" ht="15" customHeight="1" x14ac:dyDescent="0.25">
      <c r="A9" s="1"/>
      <c r="B9" s="120" t="s">
        <v>228</v>
      </c>
      <c r="C9" s="121"/>
      <c r="D9" s="121"/>
      <c r="E9" s="121"/>
      <c r="F9" s="121"/>
      <c r="G9" s="121"/>
      <c r="H9" s="122"/>
      <c r="I9" s="1"/>
    </row>
    <row r="10" spans="1:9" x14ac:dyDescent="0.25">
      <c r="A10" s="1"/>
      <c r="B10" s="149" t="s">
        <v>243</v>
      </c>
      <c r="C10" s="150"/>
      <c r="D10" s="150"/>
      <c r="E10" s="150"/>
      <c r="F10" s="151"/>
      <c r="G10" s="56">
        <v>0</v>
      </c>
      <c r="H10" s="9" t="s">
        <v>3</v>
      </c>
      <c r="I10" s="1"/>
    </row>
    <row r="11" spans="1:9" x14ac:dyDescent="0.25">
      <c r="A11" s="1"/>
      <c r="B11" s="149" t="s">
        <v>244</v>
      </c>
      <c r="C11" s="150"/>
      <c r="D11" s="150"/>
      <c r="E11" s="150"/>
      <c r="F11" s="151"/>
      <c r="G11" s="56">
        <v>0</v>
      </c>
      <c r="H11" s="9" t="s">
        <v>3</v>
      </c>
      <c r="I11" s="1"/>
    </row>
    <row r="12" spans="1:9" x14ac:dyDescent="0.25">
      <c r="A12" s="1"/>
      <c r="B12" s="149" t="s">
        <v>245</v>
      </c>
      <c r="C12" s="150"/>
      <c r="D12" s="150"/>
      <c r="E12" s="150"/>
      <c r="F12" s="151"/>
      <c r="G12" s="9">
        <v>0</v>
      </c>
      <c r="H12" s="9" t="s">
        <v>3</v>
      </c>
      <c r="I12" s="1"/>
    </row>
    <row r="13" spans="1:9" x14ac:dyDescent="0.25">
      <c r="A13" s="1"/>
      <c r="B13" s="149" t="s">
        <v>246</v>
      </c>
      <c r="C13" s="150"/>
      <c r="D13" s="150"/>
      <c r="E13" s="150"/>
      <c r="F13" s="151"/>
      <c r="G13" s="9">
        <v>0</v>
      </c>
      <c r="H13" s="9" t="s">
        <v>3</v>
      </c>
      <c r="I13" s="1"/>
    </row>
    <row r="14" spans="1:9" x14ac:dyDescent="0.25">
      <c r="A14" s="1"/>
      <c r="B14" s="149" t="s">
        <v>247</v>
      </c>
      <c r="C14" s="150"/>
      <c r="D14" s="150"/>
      <c r="E14" s="150"/>
      <c r="F14" s="151"/>
      <c r="G14" s="9">
        <v>0</v>
      </c>
      <c r="H14" s="9" t="s">
        <v>3</v>
      </c>
      <c r="I14" s="1"/>
    </row>
    <row r="15" spans="1:9" x14ac:dyDescent="0.25">
      <c r="A15" s="1"/>
      <c r="B15" s="149" t="s">
        <v>248</v>
      </c>
      <c r="C15" s="150"/>
      <c r="D15" s="150"/>
      <c r="E15" s="150"/>
      <c r="F15" s="151"/>
      <c r="G15" s="9">
        <v>0</v>
      </c>
      <c r="H15" s="9" t="s">
        <v>3</v>
      </c>
      <c r="I15" s="1"/>
    </row>
    <row r="16" spans="1:9" x14ac:dyDescent="0.25">
      <c r="A16" s="1"/>
      <c r="B16" s="149" t="s">
        <v>249</v>
      </c>
      <c r="C16" s="150"/>
      <c r="D16" s="150"/>
      <c r="E16" s="150"/>
      <c r="F16" s="151"/>
      <c r="G16" s="9">
        <v>0</v>
      </c>
      <c r="H16" s="9" t="s">
        <v>3</v>
      </c>
      <c r="I16" s="1"/>
    </row>
    <row r="17" spans="1:9" x14ac:dyDescent="0.25">
      <c r="A17" s="1"/>
      <c r="B17" s="149" t="s">
        <v>250</v>
      </c>
      <c r="C17" s="150"/>
      <c r="D17" s="150"/>
      <c r="E17" s="150"/>
      <c r="F17" s="151"/>
      <c r="G17" s="9">
        <v>0</v>
      </c>
      <c r="H17" s="9" t="s">
        <v>3</v>
      </c>
      <c r="I17" s="1"/>
    </row>
    <row r="18" spans="1:9" x14ac:dyDescent="0.25">
      <c r="A18" s="1"/>
      <c r="B18" s="125" t="s">
        <v>229</v>
      </c>
      <c r="C18" s="126"/>
      <c r="D18" s="126"/>
      <c r="E18" s="126"/>
      <c r="F18" s="12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DXlBv5PMjwnRt/LF6qh2zjBcfoL/bQpwdt1CCrs1n3C8xiKP7kSOT4P9n2Z4L/9ylEAzdX9ZdSTSPmdLinieVQ==" saltValue="CCNrr8G9gk+Nc9KMRVIUvg=="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3"/>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4.85546875" style="2" customWidth="1"/>
    <col min="6" max="6" width="7.85546875" style="2" customWidth="1"/>
    <col min="7" max="7" width="2.7109375" style="2" customWidth="1"/>
    <col min="8" max="8" width="9.5703125" style="2" customWidth="1"/>
    <col min="9" max="9" width="2.7109375" style="2" customWidth="1"/>
    <col min="10" max="10" width="10" style="2" customWidth="1"/>
    <col min="11" max="11" width="3.140625"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2" t="s">
        <v>220</v>
      </c>
      <c r="C3" s="102"/>
      <c r="D3" s="102"/>
      <c r="E3" s="102"/>
      <c r="F3" s="102"/>
      <c r="G3" s="102"/>
      <c r="H3" s="102"/>
      <c r="I3" s="102"/>
      <c r="J3" s="102"/>
      <c r="K3" s="102"/>
      <c r="L3" s="1"/>
    </row>
    <row r="4" spans="1:12" ht="15" customHeight="1" x14ac:dyDescent="0.25">
      <c r="A4" s="1"/>
      <c r="B4" s="102"/>
      <c r="C4" s="102"/>
      <c r="D4" s="102"/>
      <c r="E4" s="102"/>
      <c r="F4" s="102"/>
      <c r="G4" s="102"/>
      <c r="H4" s="102"/>
      <c r="I4" s="102"/>
      <c r="J4" s="102"/>
      <c r="K4" s="10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5" t="s">
        <v>192</v>
      </c>
      <c r="C8" s="126"/>
      <c r="D8" s="126"/>
      <c r="E8" s="126"/>
      <c r="F8" s="126"/>
      <c r="G8" s="126"/>
      <c r="H8" s="126"/>
      <c r="I8" s="126"/>
      <c r="J8" s="126"/>
      <c r="K8" s="127"/>
      <c r="L8" s="1"/>
    </row>
    <row r="9" spans="1:12" ht="39.75" customHeight="1" x14ac:dyDescent="0.25">
      <c r="A9" s="1"/>
      <c r="B9" s="18" t="s">
        <v>0</v>
      </c>
      <c r="C9" s="18" t="s">
        <v>1</v>
      </c>
      <c r="D9" s="152" t="s">
        <v>213</v>
      </c>
      <c r="E9" s="153"/>
      <c r="F9" s="152" t="s">
        <v>2</v>
      </c>
      <c r="G9" s="153"/>
      <c r="H9" s="152" t="s">
        <v>214</v>
      </c>
      <c r="I9" s="153"/>
      <c r="J9" s="152" t="s">
        <v>28</v>
      </c>
      <c r="K9" s="153"/>
      <c r="L9" s="1"/>
    </row>
    <row r="10" spans="1:12" x14ac:dyDescent="0.25">
      <c r="A10" s="1"/>
      <c r="B10" s="83" t="s">
        <v>230</v>
      </c>
      <c r="C10" s="29">
        <v>0</v>
      </c>
      <c r="D10" s="9">
        <v>0</v>
      </c>
      <c r="E10" s="14" t="s">
        <v>3</v>
      </c>
      <c r="F10" s="39">
        <f>IFERROR(D10/C10,0)</f>
        <v>0</v>
      </c>
      <c r="G10" s="14" t="s">
        <v>3</v>
      </c>
      <c r="H10" s="9">
        <v>0</v>
      </c>
      <c r="I10" s="14" t="s">
        <v>3</v>
      </c>
      <c r="J10" s="9">
        <v>0</v>
      </c>
      <c r="K10" s="14" t="s">
        <v>3</v>
      </c>
      <c r="L10" s="1"/>
    </row>
    <row r="11" spans="1:12" x14ac:dyDescent="0.25">
      <c r="A11" s="1"/>
      <c r="B11" s="69" t="s">
        <v>193</v>
      </c>
      <c r="C11" s="70"/>
      <c r="D11" s="19"/>
      <c r="E11" s="75"/>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x14ac:dyDescent="0.25">
      <c r="A49" s="55"/>
      <c r="B49" s="55"/>
      <c r="C49" s="55"/>
      <c r="D49" s="55"/>
      <c r="E49" s="55"/>
      <c r="F49" s="55"/>
      <c r="G49" s="55"/>
      <c r="H49" s="55"/>
      <c r="I49" s="55"/>
      <c r="J49" s="55"/>
      <c r="K49" s="55"/>
      <c r="L49" s="55"/>
    </row>
    <row r="50" spans="1:12" x14ac:dyDescent="0.25">
      <c r="A50" s="55"/>
      <c r="B50" s="55"/>
      <c r="C50" s="55"/>
      <c r="D50" s="55"/>
      <c r="E50" s="55"/>
      <c r="F50" s="55"/>
      <c r="G50" s="55"/>
      <c r="H50" s="55"/>
      <c r="I50" s="55"/>
      <c r="J50" s="55"/>
      <c r="K50" s="55"/>
      <c r="L50" s="55"/>
    </row>
    <row r="51" spans="1:12" x14ac:dyDescent="0.25">
      <c r="A51" s="55"/>
      <c r="B51" s="55"/>
      <c r="C51" s="55"/>
      <c r="D51" s="55"/>
      <c r="E51" s="55"/>
      <c r="F51" s="55"/>
      <c r="G51" s="55"/>
      <c r="H51" s="55"/>
      <c r="I51" s="55"/>
      <c r="J51" s="55"/>
      <c r="K51" s="55"/>
      <c r="L51" s="55"/>
    </row>
    <row r="52" spans="1:12" x14ac:dyDescent="0.25">
      <c r="A52" s="55"/>
      <c r="B52" s="55"/>
      <c r="C52" s="55"/>
      <c r="D52" s="55"/>
      <c r="E52" s="55"/>
      <c r="F52" s="55"/>
      <c r="G52" s="55"/>
      <c r="H52" s="55"/>
      <c r="I52" s="55"/>
      <c r="J52" s="55"/>
      <c r="K52" s="55"/>
      <c r="L52" s="55"/>
    </row>
    <row r="53" spans="1:12" x14ac:dyDescent="0.25">
      <c r="A53" s="55"/>
      <c r="B53" s="55"/>
      <c r="C53" s="55"/>
      <c r="D53" s="55"/>
      <c r="E53" s="55"/>
      <c r="F53" s="55"/>
      <c r="G53" s="55"/>
      <c r="H53" s="55"/>
      <c r="I53" s="55"/>
      <c r="J53" s="55"/>
      <c r="K53" s="55"/>
      <c r="L53" s="55"/>
    </row>
  </sheetData>
  <sheetProtection algorithmName="SHA-512" hashValue="szdGwVGOBZTrGgRy07GsXRS+UsB03W345by+n7nwWFgy9zWJZecVvjPhxEEbXwXede091iEcjk0FEBkNN2R0EQ==" saltValue="B5k7l7LjNm1X/h1n4yP9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5"/>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2" t="s">
        <v>221</v>
      </c>
      <c r="C3" s="102"/>
      <c r="D3" s="102"/>
      <c r="E3" s="102"/>
      <c r="F3" s="102"/>
      <c r="G3" s="1"/>
    </row>
    <row r="4" spans="1:7" ht="15" customHeight="1" x14ac:dyDescent="0.25">
      <c r="A4" s="1"/>
      <c r="B4" s="102"/>
      <c r="C4" s="102"/>
      <c r="D4" s="102"/>
      <c r="E4" s="102"/>
      <c r="F4" s="10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9" t="s">
        <v>75</v>
      </c>
      <c r="C8" s="70"/>
      <c r="D8" s="70"/>
      <c r="E8" s="70"/>
      <c r="F8" s="19"/>
      <c r="G8" s="1"/>
    </row>
    <row r="9" spans="1:7" ht="17.25" customHeight="1" x14ac:dyDescent="0.25">
      <c r="A9" s="1"/>
      <c r="B9" s="67" t="s">
        <v>15</v>
      </c>
      <c r="C9" s="67" t="s">
        <v>10</v>
      </c>
      <c r="D9" s="68"/>
      <c r="E9" s="67" t="s">
        <v>29</v>
      </c>
      <c r="F9" s="72"/>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242</v>
      </c>
      <c r="C11" s="21">
        <v>1206741</v>
      </c>
      <c r="D11" s="14" t="s">
        <v>3</v>
      </c>
      <c r="E11" s="9">
        <v>435427</v>
      </c>
      <c r="F11" s="14" t="s">
        <v>3</v>
      </c>
      <c r="G11" s="1"/>
    </row>
    <row r="12" spans="1:7" x14ac:dyDescent="0.25">
      <c r="A12" s="1"/>
      <c r="B12" s="69" t="s">
        <v>148</v>
      </c>
      <c r="C12" s="12">
        <f>SUM(C10:C11)</f>
        <v>1206741</v>
      </c>
      <c r="D12" s="13" t="s">
        <v>3</v>
      </c>
      <c r="E12" s="12">
        <f>SUM(E10:E11)</f>
        <v>435427</v>
      </c>
      <c r="F12" s="13" t="s">
        <v>3</v>
      </c>
      <c r="G12" s="1"/>
    </row>
    <row r="13" spans="1:7" x14ac:dyDescent="0.25">
      <c r="A13" s="1"/>
      <c r="B13" s="69" t="s">
        <v>188</v>
      </c>
      <c r="C13" s="12">
        <f>C12*(1+'Fane 13. Nøgletal'!C15)</f>
        <v>1249700.9796000002</v>
      </c>
      <c r="D13" s="13" t="s">
        <v>3</v>
      </c>
      <c r="E13" s="12">
        <f>E12*(1+'Fane 13. Nøgletal'!C15)</f>
        <v>450928.20120000001</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55"/>
      <c r="B51" s="55"/>
      <c r="C51" s="55"/>
      <c r="D51" s="55"/>
      <c r="E51" s="55"/>
      <c r="F51" s="55"/>
      <c r="G51" s="55"/>
    </row>
    <row r="52" spans="1:7" x14ac:dyDescent="0.25">
      <c r="A52" s="55"/>
      <c r="B52" s="55"/>
      <c r="C52" s="55"/>
      <c r="D52" s="55"/>
      <c r="E52" s="55"/>
      <c r="F52" s="55"/>
      <c r="G52" s="55"/>
    </row>
    <row r="53" spans="1:7" x14ac:dyDescent="0.25">
      <c r="A53" s="55"/>
      <c r="B53" s="55"/>
      <c r="C53" s="55"/>
      <c r="D53" s="55"/>
      <c r="E53" s="55"/>
      <c r="F53" s="55"/>
      <c r="G53" s="55"/>
    </row>
    <row r="54" spans="1:7" x14ac:dyDescent="0.25">
      <c r="A54" s="55"/>
      <c r="B54" s="55"/>
      <c r="C54" s="55"/>
      <c r="D54" s="55"/>
      <c r="E54" s="55"/>
      <c r="F54" s="55"/>
      <c r="G54" s="55"/>
    </row>
    <row r="55" spans="1:7" x14ac:dyDescent="0.25">
      <c r="A55" s="55"/>
      <c r="B55" s="55"/>
      <c r="C55" s="55"/>
      <c r="D55" s="55"/>
      <c r="E55" s="55"/>
      <c r="F55" s="55"/>
      <c r="G55" s="55"/>
    </row>
  </sheetData>
  <sheetProtection algorithmName="SHA-512" hashValue="qkwN71H0xo6Mpmo0jhqOa5OAEfgaHqqPYvLbZP/HvrH0ogGVX8jJaWRlfbKV0uh9lhk4p6BkieZfVM7FGUJfaA==" saltValue="68cYQrIKIAWFMcgi5LdWz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2" t="s">
        <v>222</v>
      </c>
      <c r="C3" s="102"/>
      <c r="D3" s="102"/>
      <c r="E3" s="102"/>
      <c r="F3" s="102"/>
      <c r="G3" s="1"/>
    </row>
    <row r="4" spans="1:7" ht="15" customHeight="1" x14ac:dyDescent="0.25">
      <c r="A4" s="1"/>
      <c r="B4" s="102"/>
      <c r="C4" s="102"/>
      <c r="D4" s="102"/>
      <c r="E4" s="102"/>
      <c r="F4" s="10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5" t="s">
        <v>88</v>
      </c>
      <c r="C9" s="126"/>
      <c r="D9" s="126"/>
      <c r="E9" s="126"/>
      <c r="F9" s="127"/>
      <c r="G9" s="1"/>
    </row>
    <row r="10" spans="1:7" ht="26.25" x14ac:dyDescent="0.25">
      <c r="A10" s="1"/>
      <c r="B10" s="67" t="s">
        <v>15</v>
      </c>
      <c r="C10" s="67" t="s">
        <v>10</v>
      </c>
      <c r="D10" s="68"/>
      <c r="E10" s="67" t="s">
        <v>29</v>
      </c>
      <c r="F10" s="72"/>
      <c r="G10" s="1"/>
    </row>
    <row r="11" spans="1:7" x14ac:dyDescent="0.25">
      <c r="A11" s="1"/>
      <c r="B11" s="22" t="s">
        <v>253</v>
      </c>
      <c r="C11" s="21">
        <v>0</v>
      </c>
      <c r="D11" s="14" t="s">
        <v>3</v>
      </c>
      <c r="E11" s="9">
        <v>0</v>
      </c>
      <c r="F11" s="14" t="s">
        <v>3</v>
      </c>
      <c r="G11" s="1"/>
    </row>
    <row r="12" spans="1:7" x14ac:dyDescent="0.25">
      <c r="A12" s="1"/>
      <c r="B12" s="69" t="s">
        <v>195</v>
      </c>
      <c r="C12" s="12">
        <f>SUM(C11:C11)</f>
        <v>0</v>
      </c>
      <c r="D12" s="13" t="s">
        <v>3</v>
      </c>
      <c r="E12" s="12">
        <f>SUM(E11:E11)</f>
        <v>0</v>
      </c>
      <c r="F12" s="13" t="s">
        <v>3</v>
      </c>
      <c r="G12" s="1"/>
    </row>
    <row r="13" spans="1:7" x14ac:dyDescent="0.25">
      <c r="A13" s="1"/>
      <c r="B13" s="69"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6CpCSsZeZuvuz+kQXVQdsOy5W8KLYVHYcS38mQdX+0Su2M/PCb6DRlGWZmL0hPdOO4Pq7v1MbEBI3TPo8TDyVw==" saltValue="aeHd2LXZRSdc8Q6I6jn9o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223</v>
      </c>
      <c r="C3" s="110"/>
      <c r="D3" s="110"/>
      <c r="E3" s="110"/>
      <c r="F3" s="110"/>
      <c r="G3" s="1"/>
    </row>
    <row r="4" spans="1:7" ht="25.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5" t="s">
        <v>112</v>
      </c>
      <c r="C8" s="126"/>
      <c r="D8" s="126"/>
      <c r="E8" s="126"/>
      <c r="F8" s="127"/>
      <c r="G8" s="1"/>
    </row>
    <row r="9" spans="1:7" ht="15" customHeight="1" x14ac:dyDescent="0.25">
      <c r="A9" s="1"/>
      <c r="B9" s="71" t="s">
        <v>113</v>
      </c>
      <c r="C9" s="120" t="s">
        <v>10</v>
      </c>
      <c r="D9" s="122"/>
      <c r="E9" s="120" t="s">
        <v>29</v>
      </c>
      <c r="F9" s="122"/>
      <c r="G9" s="1"/>
    </row>
    <row r="10" spans="1:7" x14ac:dyDescent="0.25">
      <c r="A10" s="1"/>
      <c r="B10" s="22" t="s">
        <v>240</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224</v>
      </c>
      <c r="C3" s="110"/>
      <c r="D3" s="110"/>
      <c r="E3" s="110"/>
      <c r="F3" s="110"/>
      <c r="G3" s="1"/>
    </row>
    <row r="4" spans="1:7" ht="25.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5" t="s">
        <v>85</v>
      </c>
      <c r="C10" s="126"/>
      <c r="D10" s="126"/>
      <c r="E10" s="126"/>
      <c r="F10" s="127"/>
      <c r="G10" s="1"/>
    </row>
    <row r="11" spans="1:7" ht="26.25" x14ac:dyDescent="0.25">
      <c r="A11" s="1"/>
      <c r="B11" s="71" t="s">
        <v>16</v>
      </c>
      <c r="C11" s="71" t="s">
        <v>10</v>
      </c>
      <c r="D11" s="72"/>
      <c r="E11" s="71" t="s">
        <v>29</v>
      </c>
      <c r="F11" s="72"/>
      <c r="G11" s="1"/>
    </row>
    <row r="12" spans="1:7" x14ac:dyDescent="0.25">
      <c r="A12" s="1"/>
      <c r="B12" s="22" t="s">
        <v>241</v>
      </c>
      <c r="C12" s="9">
        <v>0</v>
      </c>
      <c r="D12" s="14" t="s">
        <v>3</v>
      </c>
      <c r="E12" s="9">
        <v>0</v>
      </c>
      <c r="F12" s="14" t="s">
        <v>3</v>
      </c>
      <c r="G12" s="1"/>
    </row>
    <row r="13" spans="1:7" x14ac:dyDescent="0.25">
      <c r="A13" s="1"/>
      <c r="B13" s="69" t="s">
        <v>196</v>
      </c>
      <c r="C13" s="12">
        <f>SUM(C12:C12)</f>
        <v>0</v>
      </c>
      <c r="D13" s="13" t="s">
        <v>3</v>
      </c>
      <c r="E13" s="12">
        <f>SUM(E12:E12)</f>
        <v>0</v>
      </c>
      <c r="F13" s="13" t="s">
        <v>3</v>
      </c>
      <c r="G13" s="1"/>
    </row>
    <row r="14" spans="1:7" x14ac:dyDescent="0.25">
      <c r="A14" s="1"/>
      <c r="B14" s="69"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XCwpszrvwQSpmEFfmYq/9VW6W3tlDIGAvKPUUYNRO+wg4SA9mL7pXL1qCi94Q+XTXuN/xXUuUoUWHw0gLjo5/g==" saltValue="2KnId7CmWdw2wyvY7v+Zk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9" customWidth="1"/>
    <col min="4" max="4" width="9" style="2" customWidth="1"/>
    <col min="5" max="16384" width="9.140625" style="2"/>
  </cols>
  <sheetData>
    <row r="1" spans="1:4" x14ac:dyDescent="0.25">
      <c r="A1" s="1"/>
      <c r="B1" s="1"/>
      <c r="C1" s="44"/>
      <c r="D1" s="1"/>
    </row>
    <row r="2" spans="1:4" x14ac:dyDescent="0.25">
      <c r="A2" s="1"/>
      <c r="B2" s="1"/>
      <c r="C2" s="44"/>
      <c r="D2" s="1"/>
    </row>
    <row r="3" spans="1:4" ht="15" customHeight="1" x14ac:dyDescent="0.25">
      <c r="A3" s="1"/>
      <c r="B3" s="110" t="s">
        <v>225</v>
      </c>
      <c r="C3" s="110"/>
      <c r="D3" s="1"/>
    </row>
    <row r="4" spans="1:4" ht="25.5" customHeight="1" x14ac:dyDescent="0.25">
      <c r="A4" s="1"/>
      <c r="B4" s="110"/>
      <c r="C4" s="110"/>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9" t="s">
        <v>13</v>
      </c>
      <c r="C8" s="45"/>
      <c r="D8" s="1"/>
    </row>
    <row r="9" spans="1:4" x14ac:dyDescent="0.25">
      <c r="A9" s="1"/>
      <c r="B9" s="81" t="s">
        <v>101</v>
      </c>
      <c r="C9" s="46">
        <v>1.2699999999999999E-2</v>
      </c>
      <c r="D9" s="1"/>
    </row>
    <row r="10" spans="1:4" x14ac:dyDescent="0.25">
      <c r="A10" s="1"/>
      <c r="B10" s="81" t="s">
        <v>21</v>
      </c>
      <c r="C10" s="46">
        <v>1.7500000000000002E-2</v>
      </c>
      <c r="D10" s="1"/>
    </row>
    <row r="11" spans="1:4" x14ac:dyDescent="0.25">
      <c r="A11" s="1"/>
      <c r="B11" s="81"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5"/>
      <c r="C16" s="127"/>
      <c r="D16" s="1"/>
    </row>
    <row r="17" spans="1:4" x14ac:dyDescent="0.25">
      <c r="A17" s="1"/>
      <c r="B17" s="1"/>
      <c r="C17" s="44"/>
      <c r="D17" s="1"/>
    </row>
    <row r="18" spans="1:4" x14ac:dyDescent="0.25">
      <c r="A18" s="1"/>
      <c r="B18" s="1"/>
      <c r="C18" s="44"/>
      <c r="D18" s="1"/>
    </row>
    <row r="19" spans="1:4" x14ac:dyDescent="0.25">
      <c r="A19" s="1"/>
      <c r="B19" s="69" t="s">
        <v>89</v>
      </c>
      <c r="C19" s="45"/>
      <c r="D19" s="1"/>
    </row>
    <row r="20" spans="1:4" x14ac:dyDescent="0.25">
      <c r="A20" s="1"/>
      <c r="B20" s="81" t="s">
        <v>103</v>
      </c>
      <c r="C20" s="48">
        <v>9.1000000000000004E-3</v>
      </c>
      <c r="D20" s="1"/>
    </row>
    <row r="21" spans="1:4" x14ac:dyDescent="0.25">
      <c r="A21" s="1"/>
      <c r="B21" s="81" t="s">
        <v>104</v>
      </c>
      <c r="C21" s="48">
        <v>1.77E-2</v>
      </c>
      <c r="D21" s="1"/>
    </row>
    <row r="22" spans="1:4" x14ac:dyDescent="0.25">
      <c r="A22" s="1"/>
      <c r="B22" s="81" t="s">
        <v>105</v>
      </c>
      <c r="C22" s="48">
        <v>8.6999999999999994E-3</v>
      </c>
      <c r="D22" s="1"/>
    </row>
    <row r="23" spans="1:4" x14ac:dyDescent="0.25">
      <c r="A23" s="1"/>
      <c r="B23" s="81" t="s">
        <v>106</v>
      </c>
      <c r="C23" s="48">
        <v>2.8399999999999998E-2</v>
      </c>
      <c r="D23" s="1"/>
    </row>
    <row r="24" spans="1:4" x14ac:dyDescent="0.25">
      <c r="A24" s="1"/>
      <c r="B24" s="81" t="s">
        <v>120</v>
      </c>
      <c r="C24" s="48">
        <v>2.75E-2</v>
      </c>
      <c r="D24" s="1"/>
    </row>
    <row r="25" spans="1:4" x14ac:dyDescent="0.25">
      <c r="A25" s="1"/>
      <c r="B25" s="81" t="s">
        <v>151</v>
      </c>
      <c r="C25" s="48">
        <v>1.4800000000000001E-2</v>
      </c>
      <c r="D25" s="1"/>
    </row>
    <row r="26" spans="1:4" x14ac:dyDescent="0.25">
      <c r="A26" s="1"/>
      <c r="B26" s="24" t="s">
        <v>191</v>
      </c>
      <c r="C26" s="48">
        <v>0</v>
      </c>
      <c r="D26" s="1"/>
    </row>
    <row r="27" spans="1:4" x14ac:dyDescent="0.25">
      <c r="A27" s="1"/>
      <c r="B27" s="69"/>
      <c r="C27" s="45"/>
      <c r="D27" s="1"/>
    </row>
    <row r="28" spans="1:4" x14ac:dyDescent="0.25">
      <c r="A28" s="1"/>
      <c r="B28" s="1"/>
      <c r="C28" s="44"/>
      <c r="D28" s="1"/>
    </row>
    <row r="29" spans="1:4" x14ac:dyDescent="0.25">
      <c r="A29" s="1"/>
      <c r="B29" s="1"/>
      <c r="C29" s="44"/>
      <c r="D29" s="1"/>
    </row>
    <row r="30" spans="1:4" x14ac:dyDescent="0.25">
      <c r="A30" s="1"/>
      <c r="B30" s="69" t="s">
        <v>90</v>
      </c>
      <c r="C30" s="45"/>
      <c r="D30" s="1"/>
    </row>
    <row r="31" spans="1:4" x14ac:dyDescent="0.25">
      <c r="A31" s="1"/>
      <c r="B31" s="81" t="s">
        <v>107</v>
      </c>
      <c r="C31" s="46">
        <v>0.02</v>
      </c>
      <c r="D31" s="1"/>
    </row>
    <row r="32" spans="1:4" x14ac:dyDescent="0.25">
      <c r="A32" s="1"/>
      <c r="B32" s="69"/>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65"/>
      <c r="D50" s="55"/>
    </row>
    <row r="51" spans="1:4" x14ac:dyDescent="0.25">
      <c r="A51" s="55"/>
      <c r="B51" s="55"/>
      <c r="C51" s="65"/>
      <c r="D51" s="55"/>
    </row>
    <row r="52" spans="1:4" x14ac:dyDescent="0.25">
      <c r="A52" s="55"/>
      <c r="B52" s="55"/>
      <c r="C52" s="65"/>
      <c r="D52" s="55"/>
    </row>
    <row r="53" spans="1:4" x14ac:dyDescent="0.25">
      <c r="A53" s="55"/>
      <c r="B53" s="55"/>
      <c r="C53" s="65"/>
      <c r="D53" s="55"/>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2" t="s">
        <v>165</v>
      </c>
      <c r="C3" s="102"/>
      <c r="D3" s="102"/>
      <c r="E3" s="1"/>
    </row>
    <row r="4" spans="1:5" ht="15" customHeight="1" x14ac:dyDescent="0.25">
      <c r="A4" s="1"/>
      <c r="B4" s="102"/>
      <c r="C4" s="102"/>
      <c r="D4" s="102"/>
      <c r="E4" s="1"/>
    </row>
    <row r="5" spans="1:5" x14ac:dyDescent="0.25">
      <c r="A5" s="1"/>
      <c r="B5" s="1"/>
      <c r="C5" s="1"/>
      <c r="D5" s="1"/>
      <c r="E5" s="1"/>
    </row>
    <row r="6" spans="1:5" x14ac:dyDescent="0.25">
      <c r="A6" s="1"/>
      <c r="B6" s="1"/>
      <c r="C6" s="1"/>
      <c r="D6" s="1"/>
      <c r="E6" s="1"/>
    </row>
    <row r="7" spans="1:5" x14ac:dyDescent="0.25">
      <c r="A7" s="1"/>
      <c r="B7" s="69" t="s">
        <v>12</v>
      </c>
      <c r="C7" s="70"/>
      <c r="D7" s="19"/>
      <c r="E7" s="1"/>
    </row>
    <row r="8" spans="1:5" x14ac:dyDescent="0.25">
      <c r="A8" s="1"/>
      <c r="B8" s="77" t="s">
        <v>116</v>
      </c>
      <c r="C8" s="7">
        <f>'Fane 3. Omkostninger i ØR2022'!E18</f>
        <v>147777484.26851717</v>
      </c>
      <c r="D8" s="8" t="s">
        <v>3</v>
      </c>
      <c r="E8" s="1"/>
    </row>
    <row r="9" spans="1:5" ht="17.25" customHeight="1" x14ac:dyDescent="0.25">
      <c r="A9" s="1"/>
      <c r="B9" s="23" t="s">
        <v>35</v>
      </c>
      <c r="C9" s="7">
        <f>'Fane 10.1. Varige tillæg'!C13</f>
        <v>1249700.9796000002</v>
      </c>
      <c r="D9" s="8" t="s">
        <v>3</v>
      </c>
      <c r="E9" s="1"/>
    </row>
    <row r="10" spans="1:5" ht="17.25" customHeight="1" x14ac:dyDescent="0.25">
      <c r="A10" s="1"/>
      <c r="B10" s="23" t="s">
        <v>36</v>
      </c>
      <c r="C10" s="9">
        <f>'Fane 10.1. Varige tillæg'!E13</f>
        <v>450928.20120000001</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5321420.8387956917</v>
      </c>
      <c r="D15" s="8" t="s">
        <v>3</v>
      </c>
      <c r="E15" s="1"/>
    </row>
    <row r="16" spans="1:5" ht="17.25" customHeight="1" x14ac:dyDescent="0.25">
      <c r="A16" s="1"/>
      <c r="B16" s="23" t="s">
        <v>9</v>
      </c>
      <c r="C16" s="9">
        <f>-SUM(C8,C9:C15)*'Fane 5. Individuelt eff. krav'!G9</f>
        <v>-3095990.6857622578</v>
      </c>
      <c r="D16" s="8" t="s">
        <v>3</v>
      </c>
      <c r="E16" s="1"/>
    </row>
    <row r="17" spans="1:5" ht="17.25" customHeight="1" x14ac:dyDescent="0.25">
      <c r="A17" s="1"/>
      <c r="B17" s="23" t="s">
        <v>23</v>
      </c>
      <c r="C17" s="9">
        <f>-'Fane 4.1. Gen. krav - drift'!G43</f>
        <v>-1141838.8907886569</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150561704.71156198</v>
      </c>
      <c r="D19" s="11" t="s">
        <v>3</v>
      </c>
      <c r="E19" s="1"/>
    </row>
    <row r="20" spans="1:5" ht="15" customHeight="1" x14ac:dyDescent="0.25">
      <c r="A20" s="1"/>
      <c r="B20" s="69" t="s">
        <v>11</v>
      </c>
      <c r="C20" s="70"/>
      <c r="D20" s="19"/>
      <c r="E20" s="1"/>
    </row>
    <row r="21" spans="1:5" ht="15" customHeight="1" x14ac:dyDescent="0.25">
      <c r="A21" s="1"/>
      <c r="B21" s="71" t="s">
        <v>11</v>
      </c>
      <c r="C21" s="10">
        <f>'Fane 6. Ikke-påvirkelige omk.'!C16</f>
        <v>75949209.526839852</v>
      </c>
      <c r="D21" s="11" t="s">
        <v>3</v>
      </c>
      <c r="E21" s="1"/>
    </row>
    <row r="22" spans="1:5" ht="15" customHeight="1" x14ac:dyDescent="0.25">
      <c r="A22" s="1"/>
      <c r="B22" s="69" t="s">
        <v>80</v>
      </c>
      <c r="C22" s="70"/>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70"/>
      <c r="D28" s="19"/>
      <c r="E28" s="1"/>
    </row>
    <row r="29" spans="1:5" x14ac:dyDescent="0.25">
      <c r="A29" s="1"/>
      <c r="B29" s="82" t="s">
        <v>129</v>
      </c>
      <c r="C29" s="10">
        <f>'Fane 7. Kontrol af ØR2021'!E31</f>
        <v>-3371233.9129490554</v>
      </c>
      <c r="D29" s="11" t="s">
        <v>3</v>
      </c>
      <c r="E29" s="1"/>
    </row>
    <row r="30" spans="1:5" x14ac:dyDescent="0.25">
      <c r="A30" s="1"/>
      <c r="B30" s="25" t="s">
        <v>153</v>
      </c>
      <c r="C30" s="70"/>
      <c r="D30" s="19"/>
      <c r="E30" s="1"/>
    </row>
    <row r="31" spans="1:5" x14ac:dyDescent="0.25">
      <c r="A31" s="1"/>
      <c r="B31" s="82" t="s">
        <v>154</v>
      </c>
      <c r="C31" s="10">
        <f>'Fane 8. Skattesagen'!G12</f>
        <v>0</v>
      </c>
      <c r="D31" s="11" t="s">
        <v>3</v>
      </c>
      <c r="E31" s="1"/>
    </row>
    <row r="32" spans="1:5" x14ac:dyDescent="0.25">
      <c r="A32" s="1"/>
      <c r="B32" s="69" t="s">
        <v>84</v>
      </c>
      <c r="C32" s="36">
        <f>SUM(C19,C21,C27,C29,C31)</f>
        <v>223139680.32545277</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cLJYYtGY1EQl+Aep3bPFMxVjV48d+44TKJ3+KPJ7hLR+680VKmsCMeKhSJHCGvvJZJ+6TpHlDwQKSRRnw9j6GA==" saltValue="Tn5bPiACFd/iADT3nshpf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1"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2" t="s">
        <v>166</v>
      </c>
      <c r="C3" s="102"/>
      <c r="D3" s="102"/>
      <c r="E3" s="1"/>
    </row>
    <row r="4" spans="1:5" ht="15" customHeight="1" x14ac:dyDescent="0.25">
      <c r="A4" s="1"/>
      <c r="B4" s="102"/>
      <c r="C4" s="102"/>
      <c r="D4" s="102"/>
      <c r="E4" s="1"/>
    </row>
    <row r="5" spans="1:5" x14ac:dyDescent="0.25">
      <c r="A5" s="1"/>
      <c r="B5" s="103"/>
      <c r="C5" s="103"/>
      <c r="D5" s="103"/>
      <c r="E5" s="1"/>
    </row>
    <row r="6" spans="1:5" x14ac:dyDescent="0.25">
      <c r="A6" s="1"/>
      <c r="B6" s="1"/>
      <c r="C6" s="1"/>
      <c r="D6" s="1"/>
      <c r="E6" s="1"/>
    </row>
    <row r="7" spans="1:5" x14ac:dyDescent="0.25">
      <c r="A7" s="1"/>
      <c r="B7" s="69" t="s">
        <v>12</v>
      </c>
      <c r="C7" s="70"/>
      <c r="D7" s="19"/>
      <c r="E7" s="1"/>
    </row>
    <row r="8" spans="1:5" ht="15" customHeight="1" x14ac:dyDescent="0.25">
      <c r="A8" s="1"/>
      <c r="B8" s="77" t="s">
        <v>117</v>
      </c>
      <c r="C8" s="7">
        <f>'Fane 2.1. Økonomisk ramme 2023'!C19</f>
        <v>150561704.71156198</v>
      </c>
      <c r="D8" s="8" t="s">
        <v>3</v>
      </c>
      <c r="E8" s="1"/>
    </row>
    <row r="9" spans="1:5" ht="15" customHeight="1" x14ac:dyDescent="0.25">
      <c r="A9" s="1"/>
      <c r="B9" s="66" t="s">
        <v>17</v>
      </c>
      <c r="C9" s="9">
        <f>SUM(C8:C8)*'Fane 13. Nøgletal'!C15</f>
        <v>5359996.687731606</v>
      </c>
      <c r="D9" s="8" t="s">
        <v>3</v>
      </c>
      <c r="E9" s="1"/>
    </row>
    <row r="10" spans="1:5" ht="15" customHeight="1" x14ac:dyDescent="0.25">
      <c r="A10" s="1"/>
      <c r="B10" s="66" t="s">
        <v>9</v>
      </c>
      <c r="C10" s="9">
        <f>-SUM(C8:C9)*'Fane 5. Individuelt eff. krav'!G9</f>
        <v>-3118434.0279858713</v>
      </c>
      <c r="D10" s="8" t="s">
        <v>3</v>
      </c>
      <c r="E10" s="1"/>
    </row>
    <row r="11" spans="1:5" ht="15" customHeight="1" x14ac:dyDescent="0.25">
      <c r="A11" s="1"/>
      <c r="B11" s="66" t="s">
        <v>23</v>
      </c>
      <c r="C11" s="9">
        <f>-'Fane 4.1. Gen. krav - drift'!G48</f>
        <v>-1158838.5881947184</v>
      </c>
      <c r="D11" s="8" t="s">
        <v>3</v>
      </c>
      <c r="E11" s="1"/>
    </row>
    <row r="12" spans="1:5" ht="15" customHeight="1" x14ac:dyDescent="0.25">
      <c r="A12" s="1"/>
      <c r="B12" s="66" t="s">
        <v>24</v>
      </c>
      <c r="C12" s="9">
        <f>-'Fane 4.2. Gen. krav - anlæg'!G48</f>
        <v>0</v>
      </c>
      <c r="D12" s="8" t="s">
        <v>3</v>
      </c>
      <c r="E12" s="1"/>
    </row>
    <row r="13" spans="1:5" ht="15" customHeight="1" x14ac:dyDescent="0.25">
      <c r="A13" s="1"/>
      <c r="B13" s="33" t="s">
        <v>19</v>
      </c>
      <c r="C13" s="10">
        <f>SUM(C8:C12)</f>
        <v>151644428.78311297</v>
      </c>
      <c r="D13" s="11" t="s">
        <v>3</v>
      </c>
      <c r="E13" s="1"/>
    </row>
    <row r="14" spans="1:5" x14ac:dyDescent="0.25">
      <c r="A14" s="1"/>
      <c r="B14" s="69" t="s">
        <v>11</v>
      </c>
      <c r="C14" s="70"/>
      <c r="D14" s="19"/>
      <c r="E14" s="1"/>
    </row>
    <row r="15" spans="1:5" ht="15" customHeight="1" x14ac:dyDescent="0.25">
      <c r="A15" s="1"/>
      <c r="B15" s="71" t="s">
        <v>11</v>
      </c>
      <c r="C15" s="10">
        <f>'Fane 6. Ikke-påvirkelige omk.'!C16*(1+'Fane 13. Nøgletal'!C15)</f>
        <v>78653001.385995358</v>
      </c>
      <c r="D15" s="11" t="s">
        <v>3</v>
      </c>
      <c r="E15" s="1"/>
    </row>
    <row r="16" spans="1:5" x14ac:dyDescent="0.25">
      <c r="A16" s="1"/>
      <c r="B16" s="25" t="s">
        <v>128</v>
      </c>
      <c r="C16" s="70"/>
      <c r="D16" s="19"/>
      <c r="E16" s="1"/>
    </row>
    <row r="17" spans="1:5" ht="15" customHeight="1" x14ac:dyDescent="0.25">
      <c r="A17" s="1"/>
      <c r="B17" s="82" t="s">
        <v>129</v>
      </c>
      <c r="C17" s="10">
        <f>'Fane 7. Kontrol af ØR2021'!E31</f>
        <v>-3371233.9129490554</v>
      </c>
      <c r="D17" s="11" t="s">
        <v>3</v>
      </c>
      <c r="E17" s="1"/>
    </row>
    <row r="18" spans="1:5" x14ac:dyDescent="0.25">
      <c r="A18" s="1"/>
      <c r="B18" s="25" t="s">
        <v>153</v>
      </c>
      <c r="C18" s="70"/>
      <c r="D18" s="19"/>
      <c r="E18" s="1"/>
    </row>
    <row r="19" spans="1:5" x14ac:dyDescent="0.25">
      <c r="A19" s="1"/>
      <c r="B19" s="82" t="s">
        <v>154</v>
      </c>
      <c r="C19" s="10">
        <f>'Fane 8. Skattesagen'!G13</f>
        <v>0</v>
      </c>
      <c r="D19" s="11" t="s">
        <v>3</v>
      </c>
      <c r="E19" s="1"/>
    </row>
    <row r="20" spans="1:5" x14ac:dyDescent="0.25">
      <c r="A20" s="1"/>
      <c r="B20" s="69" t="s">
        <v>138</v>
      </c>
      <c r="C20" s="12">
        <f>SUM(C13,C15,C17,C19)</f>
        <v>226926196.25615928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2ljnLo+ikF/2OUEUaLws0Y4tUdiGeQrOlE+1ONRd1202EmtTJ2hZmME4mzREpVzrCYJh9k3OKYA4Uucjhkcy/A==" saltValue="+T1t87tTRHIaI2Hqzzo2z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140625" defaultRowHeight="15" x14ac:dyDescent="0.25"/>
  <cols>
    <col min="1" max="1" width="4.28515625" style="2" customWidth="1"/>
    <col min="2" max="2" width="63.28515625" style="2" customWidth="1"/>
    <col min="3" max="3" width="10.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2" t="s">
        <v>167</v>
      </c>
      <c r="C3" s="102"/>
      <c r="D3" s="102"/>
      <c r="E3" s="1"/>
    </row>
    <row r="4" spans="1:5" ht="15" customHeight="1" x14ac:dyDescent="0.25">
      <c r="A4" s="1"/>
      <c r="B4" s="102"/>
      <c r="C4" s="102"/>
      <c r="D4" s="102"/>
      <c r="E4" s="1"/>
    </row>
    <row r="5" spans="1:5" x14ac:dyDescent="0.25">
      <c r="A5" s="1"/>
      <c r="B5" s="103" t="s">
        <v>20</v>
      </c>
      <c r="C5" s="103"/>
      <c r="D5" s="103"/>
      <c r="E5" s="1"/>
    </row>
    <row r="6" spans="1:5" x14ac:dyDescent="0.25">
      <c r="A6" s="1"/>
      <c r="B6" s="1"/>
      <c r="C6" s="1"/>
      <c r="D6" s="1"/>
      <c r="E6" s="1"/>
    </row>
    <row r="7" spans="1:5" x14ac:dyDescent="0.25">
      <c r="A7" s="1"/>
      <c r="B7" s="69" t="s">
        <v>12</v>
      </c>
      <c r="C7" s="70"/>
      <c r="D7" s="19"/>
      <c r="E7" s="1"/>
    </row>
    <row r="8" spans="1:5" ht="15" customHeight="1" x14ac:dyDescent="0.25">
      <c r="A8" s="1"/>
      <c r="B8" s="77" t="s">
        <v>139</v>
      </c>
      <c r="C8" s="7">
        <f>'Fane 2.2. Økonomisk ramme 2024'!C13</f>
        <v>151644428.78311297</v>
      </c>
      <c r="D8" s="8" t="s">
        <v>3</v>
      </c>
      <c r="E8" s="1"/>
    </row>
    <row r="9" spans="1:5" ht="15" customHeight="1" x14ac:dyDescent="0.25">
      <c r="A9" s="1"/>
      <c r="B9" s="66" t="s">
        <v>17</v>
      </c>
      <c r="C9" s="9">
        <f>SUM(C8:C8)*'Fane 13. Nøgletal'!C15</f>
        <v>5398541.6646788213</v>
      </c>
      <c r="D9" s="8" t="s">
        <v>3</v>
      </c>
      <c r="E9" s="1"/>
    </row>
    <row r="10" spans="1:5" ht="15" customHeight="1" x14ac:dyDescent="0.25">
      <c r="A10" s="1"/>
      <c r="B10" s="66" t="s">
        <v>9</v>
      </c>
      <c r="C10" s="9">
        <f>-SUM(C8:C9)*'Fane 5. Individuelt eff. krav'!G9</f>
        <v>-3140859.4089558357</v>
      </c>
      <c r="D10" s="8" t="s">
        <v>3</v>
      </c>
      <c r="E10" s="1"/>
    </row>
    <row r="11" spans="1:5" ht="15" customHeight="1" x14ac:dyDescent="0.25">
      <c r="A11" s="1"/>
      <c r="B11" s="66" t="s">
        <v>23</v>
      </c>
      <c r="C11" s="9">
        <f>-'Fane 4.1. Gen. krav - drift'!G53</f>
        <v>-1176091.3770957612</v>
      </c>
      <c r="D11" s="8" t="s">
        <v>3</v>
      </c>
      <c r="E11" s="1"/>
    </row>
    <row r="12" spans="1:5" ht="15" customHeight="1" x14ac:dyDescent="0.25">
      <c r="A12" s="1"/>
      <c r="B12" s="66" t="s">
        <v>24</v>
      </c>
      <c r="C12" s="27">
        <f>-'Fane 4.2. Gen. krav - anlæg'!G53</f>
        <v>0</v>
      </c>
      <c r="D12" s="8" t="s">
        <v>3</v>
      </c>
      <c r="E12" s="1"/>
    </row>
    <row r="13" spans="1:5" x14ac:dyDescent="0.25">
      <c r="A13" s="1"/>
      <c r="B13" s="33" t="s">
        <v>19</v>
      </c>
      <c r="C13" s="10">
        <f>SUM(C8:C12)</f>
        <v>152726019.66174018</v>
      </c>
      <c r="D13" s="11" t="s">
        <v>3</v>
      </c>
      <c r="E13" s="1"/>
    </row>
    <row r="14" spans="1:5" x14ac:dyDescent="0.25">
      <c r="A14" s="1"/>
      <c r="B14" s="69" t="s">
        <v>11</v>
      </c>
      <c r="C14" s="70"/>
      <c r="D14" s="19"/>
      <c r="E14" s="1"/>
    </row>
    <row r="15" spans="1:5" ht="15" customHeight="1" x14ac:dyDescent="0.25">
      <c r="A15" s="1"/>
      <c r="B15" s="71" t="s">
        <v>11</v>
      </c>
      <c r="C15" s="10">
        <f>'Fane 6. Ikke-påvirkelige omk.'!C16*(1+'Fane 13. Nøgletal'!C15)^2</f>
        <v>81453048.235336795</v>
      </c>
      <c r="D15" s="11" t="s">
        <v>3</v>
      </c>
      <c r="E15" s="1"/>
    </row>
    <row r="16" spans="1:5" x14ac:dyDescent="0.25">
      <c r="A16" s="1"/>
      <c r="B16" s="69" t="s">
        <v>128</v>
      </c>
      <c r="C16" s="70"/>
      <c r="D16" s="19"/>
      <c r="E16" s="1"/>
    </row>
    <row r="17" spans="1:5" x14ac:dyDescent="0.25">
      <c r="A17" s="1"/>
      <c r="B17" s="71" t="s">
        <v>129</v>
      </c>
      <c r="C17" s="10">
        <v>0</v>
      </c>
      <c r="D17" s="11" t="s">
        <v>3</v>
      </c>
      <c r="E17" s="1"/>
    </row>
    <row r="18" spans="1:5" ht="15" customHeight="1" x14ac:dyDescent="0.25">
      <c r="A18" s="1"/>
      <c r="B18" s="25" t="s">
        <v>153</v>
      </c>
      <c r="C18" s="70"/>
      <c r="D18" s="19"/>
      <c r="E18" s="1"/>
    </row>
    <row r="19" spans="1:5" ht="15" customHeight="1" x14ac:dyDescent="0.25">
      <c r="A19" s="1"/>
      <c r="B19" s="82" t="s">
        <v>154</v>
      </c>
      <c r="C19" s="10">
        <f>'Fane 8. Skattesagen'!G14</f>
        <v>0</v>
      </c>
      <c r="D19" s="11" t="s">
        <v>3</v>
      </c>
      <c r="E19" s="1"/>
    </row>
    <row r="20" spans="1:5" x14ac:dyDescent="0.25">
      <c r="A20" s="1"/>
      <c r="B20" s="69" t="s">
        <v>140</v>
      </c>
      <c r="C20" s="12">
        <f>SUM(C13,C15,C17,C19)</f>
        <v>234179067.89707696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rWKpQej6+6RDxtB3D5wk3CL3OqbCzwGxJncizP0igHZajDPB/IXw2yDIQia8mj9jsUaoYXXxfkcZE/h0fCeVxg==" saltValue="Iiz6X9hYPniVP0Y+77paC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140625" defaultRowHeight="15" x14ac:dyDescent="0.25"/>
  <cols>
    <col min="1" max="1" width="4.7109375" style="2" customWidth="1"/>
    <col min="2" max="2" width="62.5703125" style="2" customWidth="1"/>
    <col min="3" max="3" width="11.7109375" style="2" customWidth="1"/>
    <col min="4" max="4" width="3.28515625" style="2" customWidth="1"/>
    <col min="5" max="5" width="4.710937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2" t="s">
        <v>168</v>
      </c>
      <c r="C3" s="102"/>
      <c r="D3" s="102"/>
      <c r="E3" s="1"/>
    </row>
    <row r="4" spans="1:5" ht="15" customHeight="1" x14ac:dyDescent="0.25">
      <c r="A4" s="1"/>
      <c r="B4" s="102"/>
      <c r="C4" s="102"/>
      <c r="D4" s="102"/>
      <c r="E4" s="1"/>
    </row>
    <row r="5" spans="1:5" x14ac:dyDescent="0.25">
      <c r="A5" s="1"/>
      <c r="B5" s="103" t="s">
        <v>20</v>
      </c>
      <c r="C5" s="103"/>
      <c r="D5" s="103"/>
      <c r="E5" s="1"/>
    </row>
    <row r="6" spans="1:5" x14ac:dyDescent="0.25">
      <c r="A6" s="1"/>
      <c r="B6" s="1"/>
      <c r="C6" s="1"/>
      <c r="D6" s="1"/>
      <c r="E6" s="1"/>
    </row>
    <row r="7" spans="1:5" x14ac:dyDescent="0.25">
      <c r="A7" s="1"/>
      <c r="B7" s="69" t="s">
        <v>12</v>
      </c>
      <c r="C7" s="70"/>
      <c r="D7" s="19"/>
      <c r="E7" s="1"/>
    </row>
    <row r="8" spans="1:5" ht="15" customHeight="1" x14ac:dyDescent="0.25">
      <c r="A8" s="1"/>
      <c r="B8" s="77" t="s">
        <v>169</v>
      </c>
      <c r="C8" s="7">
        <f>'Fane 2.3. Økonomisk ramme 2025'!C13</f>
        <v>152726019.66174018</v>
      </c>
      <c r="D8" s="8" t="s">
        <v>3</v>
      </c>
      <c r="E8" s="1"/>
    </row>
    <row r="9" spans="1:5" ht="15" customHeight="1" x14ac:dyDescent="0.25">
      <c r="A9" s="1"/>
      <c r="B9" s="66" t="s">
        <v>17</v>
      </c>
      <c r="C9" s="9">
        <f>SUM(C8:C8)*'Fane 13. Nøgletal'!C15</f>
        <v>5437046.2999579506</v>
      </c>
      <c r="D9" s="8" t="s">
        <v>3</v>
      </c>
      <c r="E9" s="1"/>
    </row>
    <row r="10" spans="1:5" ht="15" customHeight="1" x14ac:dyDescent="0.25">
      <c r="A10" s="1"/>
      <c r="B10" s="66" t="s">
        <v>9</v>
      </c>
      <c r="C10" s="9">
        <f>-SUM(C8:C9)*'Fane 5. Individuelt eff. krav'!G9</f>
        <v>-3163261.3192339628</v>
      </c>
      <c r="D10" s="8" t="s">
        <v>3</v>
      </c>
      <c r="E10" s="1"/>
    </row>
    <row r="11" spans="1:5" ht="15" customHeight="1" x14ac:dyDescent="0.25">
      <c r="A11" s="1"/>
      <c r="B11" s="66" t="s">
        <v>23</v>
      </c>
      <c r="C11" s="9">
        <f>-'Fane 4.1. Gen. krav - drift'!G58</f>
        <v>-1193601.0255179631</v>
      </c>
      <c r="D11" s="8" t="s">
        <v>3</v>
      </c>
      <c r="E11" s="1"/>
    </row>
    <row r="12" spans="1:5" ht="15" customHeight="1" x14ac:dyDescent="0.25">
      <c r="A12" s="1"/>
      <c r="B12" s="66" t="s">
        <v>24</v>
      </c>
      <c r="C12" s="9">
        <f>-'Fane 4.2. Gen. krav - anlæg'!G58</f>
        <v>0</v>
      </c>
      <c r="D12" s="8" t="s">
        <v>3</v>
      </c>
      <c r="E12" s="1"/>
    </row>
    <row r="13" spans="1:5" x14ac:dyDescent="0.25">
      <c r="A13" s="1"/>
      <c r="B13" s="33" t="s">
        <v>19</v>
      </c>
      <c r="C13" s="10">
        <f>SUM(C8:C12)</f>
        <v>153806203.61694622</v>
      </c>
      <c r="D13" s="11" t="s">
        <v>3</v>
      </c>
      <c r="E13" s="1"/>
    </row>
    <row r="14" spans="1:5" x14ac:dyDescent="0.25">
      <c r="A14" s="1"/>
      <c r="B14" s="69" t="s">
        <v>11</v>
      </c>
      <c r="C14" s="70"/>
      <c r="D14" s="19"/>
      <c r="E14" s="1"/>
    </row>
    <row r="15" spans="1:5" ht="15" customHeight="1" x14ac:dyDescent="0.25">
      <c r="A15" s="1"/>
      <c r="B15" s="71" t="s">
        <v>11</v>
      </c>
      <c r="C15" s="10">
        <f>'Fane 6. Ikke-påvirkelige omk.'!C16*(1+'Fane 13. Nøgletal'!C15)^3</f>
        <v>84352776.752514794</v>
      </c>
      <c r="D15" s="11" t="s">
        <v>3</v>
      </c>
      <c r="E15" s="1"/>
    </row>
    <row r="16" spans="1:5" x14ac:dyDescent="0.25">
      <c r="A16" s="1"/>
      <c r="B16" s="69" t="s">
        <v>128</v>
      </c>
      <c r="C16" s="70"/>
      <c r="D16" s="19"/>
      <c r="E16" s="1"/>
    </row>
    <row r="17" spans="1:5" x14ac:dyDescent="0.25">
      <c r="A17" s="1"/>
      <c r="B17" s="71" t="s">
        <v>129</v>
      </c>
      <c r="C17" s="10">
        <v>0</v>
      </c>
      <c r="D17" s="11" t="s">
        <v>3</v>
      </c>
      <c r="E17" s="1"/>
    </row>
    <row r="18" spans="1:5" x14ac:dyDescent="0.25">
      <c r="A18" s="1"/>
      <c r="B18" s="25" t="s">
        <v>153</v>
      </c>
      <c r="C18" s="70"/>
      <c r="D18" s="19"/>
      <c r="E18" s="1"/>
    </row>
    <row r="19" spans="1:5" x14ac:dyDescent="0.25">
      <c r="A19" s="1"/>
      <c r="B19" s="82" t="s">
        <v>154</v>
      </c>
      <c r="C19" s="10">
        <f>'Fane 8. Skattesagen'!G15</f>
        <v>0</v>
      </c>
      <c r="D19" s="11" t="s">
        <v>3</v>
      </c>
      <c r="E19" s="1"/>
    </row>
    <row r="20" spans="1:5" x14ac:dyDescent="0.25">
      <c r="A20" s="1"/>
      <c r="B20" s="69" t="s">
        <v>170</v>
      </c>
      <c r="C20" s="12">
        <f>SUM(C13,C15,C17,C19)</f>
        <v>238158980.369461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Awgz79VXN7AU9VKvfX40M+1yA/AvP3EsvhJJ9JRl5W4xJhNkoYroNRKqhKfHDTS5SxnQrFvJKI0V1xvRD1JgLQ==" saltValue="F7tntwAIcZqY0j9hZYRrB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6"/>
  <sheetViews>
    <sheetView showGridLines="0" view="pageLayout" zoomScaleNormal="100" workbookViewId="0"/>
  </sheetViews>
  <sheetFormatPr defaultColWidth="9.140625" defaultRowHeight="15" x14ac:dyDescent="0.25"/>
  <cols>
    <col min="1" max="1" width="7.85546875" style="2" customWidth="1"/>
    <col min="2" max="2" width="51.7109375" style="2" customWidth="1"/>
    <col min="3" max="3" width="9.140625" style="2" hidden="1" customWidth="1"/>
    <col min="4" max="4" width="39.42578125" style="2" hidden="1" customWidth="1"/>
    <col min="5" max="5" width="11.140625" style="2" customWidth="1"/>
    <col min="6" max="6" width="4.5703125" style="2" customWidth="1"/>
    <col min="7" max="7" width="8.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171</v>
      </c>
      <c r="C3" s="110"/>
      <c r="D3" s="110"/>
      <c r="E3" s="110"/>
      <c r="F3" s="110"/>
      <c r="G3" s="1"/>
    </row>
    <row r="4" spans="1:7" ht="29.25" customHeight="1" x14ac:dyDescent="0.25">
      <c r="A4" s="1"/>
      <c r="B4" s="110"/>
      <c r="C4" s="110"/>
      <c r="D4" s="110"/>
      <c r="E4" s="110"/>
      <c r="F4" s="110"/>
      <c r="G4" s="1"/>
    </row>
    <row r="5" spans="1:7" ht="29.25" customHeight="1" x14ac:dyDescent="0.25">
      <c r="A5" s="1"/>
      <c r="B5" s="76"/>
      <c r="C5" s="76"/>
      <c r="D5" s="76"/>
      <c r="E5" s="76"/>
      <c r="F5" s="76"/>
      <c r="G5" s="1"/>
    </row>
    <row r="6" spans="1:7" x14ac:dyDescent="0.25">
      <c r="A6" s="1"/>
      <c r="B6" s="69" t="s">
        <v>172</v>
      </c>
      <c r="C6" s="70"/>
      <c r="D6" s="70"/>
      <c r="E6" s="70"/>
      <c r="F6" s="19"/>
      <c r="G6" s="1"/>
    </row>
    <row r="7" spans="1:7" x14ac:dyDescent="0.25">
      <c r="A7" s="1"/>
      <c r="B7" s="111" t="s">
        <v>22</v>
      </c>
      <c r="C7" s="112"/>
      <c r="D7" s="113"/>
      <c r="E7" s="7">
        <v>151512261.72379029</v>
      </c>
      <c r="F7" s="8" t="s">
        <v>3</v>
      </c>
      <c r="G7" s="1"/>
    </row>
    <row r="8" spans="1:7" x14ac:dyDescent="0.25">
      <c r="A8" s="1"/>
      <c r="B8" s="104" t="s">
        <v>35</v>
      </c>
      <c r="C8" s="105"/>
      <c r="D8" s="106"/>
      <c r="E8" s="9">
        <v>1155834.7089000002</v>
      </c>
      <c r="F8" s="8" t="s">
        <v>3</v>
      </c>
      <c r="G8" s="1"/>
    </row>
    <row r="9" spans="1:7" x14ac:dyDescent="0.25">
      <c r="A9" s="1"/>
      <c r="B9" s="104" t="s">
        <v>36</v>
      </c>
      <c r="C9" s="105"/>
      <c r="D9" s="106"/>
      <c r="E9" s="9">
        <v>590515.29090000002</v>
      </c>
      <c r="F9" s="8" t="s">
        <v>3</v>
      </c>
      <c r="G9" s="1"/>
    </row>
    <row r="10" spans="1:7" x14ac:dyDescent="0.25">
      <c r="A10" s="1"/>
      <c r="B10" s="104" t="s">
        <v>26</v>
      </c>
      <c r="C10" s="105"/>
      <c r="D10" s="106"/>
      <c r="E10" s="9">
        <v>0</v>
      </c>
      <c r="F10" s="8" t="s">
        <v>3</v>
      </c>
      <c r="G10" s="1"/>
    </row>
    <row r="11" spans="1:7" ht="15" customHeight="1" x14ac:dyDescent="0.25">
      <c r="A11" s="1"/>
      <c r="B11" s="104" t="s">
        <v>25</v>
      </c>
      <c r="C11" s="105"/>
      <c r="D11" s="106"/>
      <c r="E11" s="9">
        <v>0</v>
      </c>
      <c r="F11" s="8" t="s">
        <v>3</v>
      </c>
      <c r="G11" s="1"/>
    </row>
    <row r="12" spans="1:7" ht="15" customHeight="1" x14ac:dyDescent="0.25">
      <c r="A12" s="1"/>
      <c r="B12" s="104" t="s">
        <v>114</v>
      </c>
      <c r="C12" s="105"/>
      <c r="D12" s="106"/>
      <c r="E12" s="9">
        <v>0</v>
      </c>
      <c r="F12" s="8" t="s">
        <v>3</v>
      </c>
      <c r="G12" s="1"/>
    </row>
    <row r="13" spans="1:7" x14ac:dyDescent="0.25">
      <c r="A13" s="1"/>
      <c r="B13" s="104" t="s">
        <v>115</v>
      </c>
      <c r="C13" s="105"/>
      <c r="D13" s="106"/>
      <c r="E13" s="9">
        <v>0</v>
      </c>
      <c r="F13" s="8" t="s">
        <v>3</v>
      </c>
      <c r="G13" s="1"/>
    </row>
    <row r="14" spans="1:7" x14ac:dyDescent="0.25">
      <c r="A14" s="1"/>
      <c r="B14" s="104" t="s">
        <v>17</v>
      </c>
      <c r="C14" s="105"/>
      <c r="D14" s="106"/>
      <c r="E14" s="9">
        <v>1854212.5480295816</v>
      </c>
      <c r="F14" s="8" t="s">
        <v>3</v>
      </c>
      <c r="G14" s="30"/>
    </row>
    <row r="15" spans="1:7" x14ac:dyDescent="0.25">
      <c r="A15" s="1"/>
      <c r="B15" s="104" t="s">
        <v>9</v>
      </c>
      <c r="C15" s="105"/>
      <c r="D15" s="106"/>
      <c r="E15" s="9">
        <v>-3102256.4854323971</v>
      </c>
      <c r="F15" s="8" t="s">
        <v>3</v>
      </c>
      <c r="G15" s="1"/>
    </row>
    <row r="16" spans="1:7" x14ac:dyDescent="0.25">
      <c r="A16" s="1"/>
      <c r="B16" s="104" t="s">
        <v>23</v>
      </c>
      <c r="C16" s="105"/>
      <c r="D16" s="106"/>
      <c r="E16" s="9">
        <v>-1099584.4705023426</v>
      </c>
      <c r="F16" s="8" t="s">
        <v>3</v>
      </c>
      <c r="G16" s="1"/>
    </row>
    <row r="17" spans="1:7" x14ac:dyDescent="0.25">
      <c r="A17" s="1"/>
      <c r="B17" s="104" t="s">
        <v>24</v>
      </c>
      <c r="C17" s="105"/>
      <c r="D17" s="106"/>
      <c r="E17" s="9">
        <v>-3133499.0471679526</v>
      </c>
      <c r="F17" s="8" t="s">
        <v>3</v>
      </c>
      <c r="G17" s="1"/>
    </row>
    <row r="18" spans="1:7" x14ac:dyDescent="0.25">
      <c r="A18" s="1"/>
      <c r="B18" s="117" t="s">
        <v>19</v>
      </c>
      <c r="C18" s="118"/>
      <c r="D18" s="119"/>
      <c r="E18" s="31">
        <f>SUM(E7:E17)</f>
        <v>147777484.26851717</v>
      </c>
      <c r="F18" s="34" t="s">
        <v>3</v>
      </c>
      <c r="G18" s="1"/>
    </row>
    <row r="19" spans="1:7" x14ac:dyDescent="0.25">
      <c r="A19" s="1"/>
      <c r="B19" s="69" t="s">
        <v>11</v>
      </c>
      <c r="C19" s="70"/>
      <c r="D19" s="70"/>
      <c r="E19" s="70"/>
      <c r="F19" s="19"/>
      <c r="G19" s="1"/>
    </row>
    <row r="20" spans="1:7" x14ac:dyDescent="0.25">
      <c r="A20" s="1"/>
      <c r="B20" s="107" t="s">
        <v>11</v>
      </c>
      <c r="C20" s="108"/>
      <c r="D20" s="109"/>
      <c r="E20" s="10">
        <v>79464943.885923415</v>
      </c>
      <c r="F20" s="11" t="s">
        <v>3</v>
      </c>
      <c r="G20" s="1"/>
    </row>
    <row r="21" spans="1:7" x14ac:dyDescent="0.25">
      <c r="A21" s="1"/>
      <c r="B21" s="123" t="s">
        <v>80</v>
      </c>
      <c r="C21" s="124"/>
      <c r="D21" s="124"/>
      <c r="E21" s="70"/>
      <c r="F21" s="70"/>
      <c r="G21" s="1"/>
    </row>
    <row r="22" spans="1:7" x14ac:dyDescent="0.25">
      <c r="A22" s="1"/>
      <c r="B22" s="114" t="s">
        <v>76</v>
      </c>
      <c r="C22" s="115"/>
      <c r="D22" s="116"/>
      <c r="E22" s="9">
        <v>0</v>
      </c>
      <c r="F22" s="8" t="s">
        <v>3</v>
      </c>
      <c r="G22" s="1"/>
    </row>
    <row r="23" spans="1:7" x14ac:dyDescent="0.25">
      <c r="A23" s="1"/>
      <c r="B23" s="114" t="s">
        <v>77</v>
      </c>
      <c r="C23" s="115"/>
      <c r="D23" s="116"/>
      <c r="E23" s="9">
        <v>0</v>
      </c>
      <c r="F23" s="8" t="s">
        <v>3</v>
      </c>
      <c r="G23" s="1"/>
    </row>
    <row r="24" spans="1:7" ht="15" customHeight="1" x14ac:dyDescent="0.25">
      <c r="A24" s="1"/>
      <c r="B24" s="120" t="s">
        <v>81</v>
      </c>
      <c r="C24" s="121"/>
      <c r="D24" s="121"/>
      <c r="E24" s="10">
        <v>0</v>
      </c>
      <c r="F24" s="11" t="s">
        <v>3</v>
      </c>
      <c r="G24" s="1"/>
    </row>
    <row r="25" spans="1:7" ht="14.25" customHeight="1" x14ac:dyDescent="0.25">
      <c r="A25" s="1"/>
      <c r="B25" s="69" t="s">
        <v>128</v>
      </c>
      <c r="C25" s="70"/>
      <c r="D25" s="70"/>
      <c r="E25" s="70"/>
      <c r="F25" s="19"/>
      <c r="G25" s="1"/>
    </row>
    <row r="26" spans="1:7" ht="14.25" customHeight="1" x14ac:dyDescent="0.25">
      <c r="A26" s="1"/>
      <c r="B26" s="120" t="s">
        <v>129</v>
      </c>
      <c r="C26" s="121"/>
      <c r="D26" s="122"/>
      <c r="E26" s="10">
        <v>0</v>
      </c>
      <c r="F26" s="11" t="s">
        <v>3</v>
      </c>
      <c r="G26" s="1"/>
    </row>
    <row r="27" spans="1:7" x14ac:dyDescent="0.25">
      <c r="A27" s="1"/>
      <c r="B27" s="69" t="s">
        <v>159</v>
      </c>
      <c r="C27" s="70"/>
      <c r="D27" s="70"/>
      <c r="E27" s="70"/>
      <c r="F27" s="19"/>
      <c r="G27" s="1"/>
    </row>
    <row r="28" spans="1:7" x14ac:dyDescent="0.25">
      <c r="A28" s="1"/>
      <c r="B28" s="107" t="s">
        <v>160</v>
      </c>
      <c r="C28" s="108"/>
      <c r="D28" s="109"/>
      <c r="E28" s="10">
        <v>0</v>
      </c>
      <c r="F28" s="11" t="s">
        <v>3</v>
      </c>
      <c r="G28" s="1"/>
    </row>
    <row r="29" spans="1:7" ht="15" customHeight="1" x14ac:dyDescent="0.25">
      <c r="A29" s="1"/>
      <c r="B29" s="125" t="s">
        <v>153</v>
      </c>
      <c r="C29" s="126"/>
      <c r="D29" s="126"/>
      <c r="E29" s="126"/>
      <c r="F29" s="127"/>
      <c r="G29" s="1"/>
    </row>
    <row r="30" spans="1:7" x14ac:dyDescent="0.25">
      <c r="A30" s="1"/>
      <c r="B30" s="82" t="s">
        <v>154</v>
      </c>
      <c r="C30" s="10"/>
      <c r="D30" s="11"/>
      <c r="E30" s="10">
        <f>'Fane 8. Skattesagen'!G11</f>
        <v>0</v>
      </c>
      <c r="F30" s="11" t="s">
        <v>3</v>
      </c>
      <c r="G30" s="1"/>
    </row>
    <row r="31" spans="1:7" ht="15.75" customHeight="1" x14ac:dyDescent="0.25">
      <c r="A31" s="1"/>
      <c r="B31" s="35" t="s">
        <v>27</v>
      </c>
      <c r="C31" s="38"/>
      <c r="D31" s="38"/>
      <c r="E31" s="32">
        <f>E18+E20+E24+E26+E28+E30</f>
        <v>227242428.15444058</v>
      </c>
      <c r="F31" s="37" t="s">
        <v>3</v>
      </c>
      <c r="G31" s="1"/>
    </row>
    <row r="32" spans="1:7" ht="25.5" customHeight="1" x14ac:dyDescent="0.25">
      <c r="A32" s="1"/>
      <c r="B32" s="114" t="s">
        <v>173</v>
      </c>
      <c r="C32" s="115"/>
      <c r="D32" s="115"/>
      <c r="E32" s="115"/>
      <c r="F32" s="116"/>
      <c r="G32" s="1"/>
    </row>
    <row r="33" spans="1:7" ht="15.75" customHeight="1" x14ac:dyDescent="0.25">
      <c r="A33" s="1"/>
      <c r="B33" s="1"/>
      <c r="C33" s="1"/>
      <c r="D33" s="1"/>
      <c r="E33" s="1"/>
      <c r="F33" s="1"/>
      <c r="G33" s="1"/>
    </row>
    <row r="34" spans="1:7" x14ac:dyDescent="0.25">
      <c r="A34" s="1"/>
      <c r="B34" s="1"/>
      <c r="C34" s="1"/>
      <c r="D34" s="1"/>
      <c r="E34" s="1"/>
      <c r="F34" s="1"/>
      <c r="G34" s="1"/>
    </row>
    <row r="35" spans="1:7" ht="27.75"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eAEGyRzmAsQMMQM9ma93AQ/qwl8Ovwhxzt/E9+CC2SbvUWrO3DK2YQyo9/xsNeUBCu3mOUHX1vVagnVBE/Ge5w==" saltValue="BFqRkTKwxpRUjZ2V2jivDg==" spinCount="100000" sheet="1" objects="1" scenarios="1"/>
  <mergeCells count="22">
    <mergeCell ref="B32:F32"/>
    <mergeCell ref="B14:D14"/>
    <mergeCell ref="B15:D15"/>
    <mergeCell ref="B16:D16"/>
    <mergeCell ref="B17:D17"/>
    <mergeCell ref="B18:D18"/>
    <mergeCell ref="B26:D26"/>
    <mergeCell ref="B21:D21"/>
    <mergeCell ref="B22:D22"/>
    <mergeCell ref="B23:D23"/>
    <mergeCell ref="B24:D24"/>
    <mergeCell ref="B28:D28"/>
    <mergeCell ref="B29:F29"/>
    <mergeCell ref="B11:D11"/>
    <mergeCell ref="B12:D12"/>
    <mergeCell ref="B13:D13"/>
    <mergeCell ref="B20:D20"/>
    <mergeCell ref="B3:F4"/>
    <mergeCell ref="B7:D7"/>
    <mergeCell ref="B8:D8"/>
    <mergeCell ref="B9:D9"/>
    <mergeCell ref="B10:D10"/>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140625" defaultRowHeight="15" x14ac:dyDescent="0.25"/>
  <cols>
    <col min="1" max="1" width="6.140625" style="2" customWidth="1"/>
    <col min="2" max="5" width="9.140625" style="2"/>
    <col min="6" max="6" width="18.85546875" style="2" customWidth="1"/>
    <col min="7" max="7" width="13.42578125" style="43" customWidth="1"/>
    <col min="8" max="8" width="3.7109375" style="2" customWidth="1"/>
    <col min="9" max="9" width="6.7109375" style="2" customWidth="1"/>
    <col min="10" max="16384" width="9.140625" style="2"/>
  </cols>
  <sheetData>
    <row r="1" spans="1:9" ht="15" customHeight="1" x14ac:dyDescent="0.25">
      <c r="A1" s="1"/>
      <c r="B1" s="110" t="s">
        <v>98</v>
      </c>
      <c r="C1" s="110"/>
      <c r="D1" s="110"/>
      <c r="E1" s="110"/>
      <c r="F1" s="110"/>
      <c r="G1" s="110"/>
      <c r="H1" s="110"/>
      <c r="I1" s="1"/>
    </row>
    <row r="2" spans="1:9" ht="15" customHeight="1" x14ac:dyDescent="0.25">
      <c r="A2" s="1"/>
      <c r="B2" s="110"/>
      <c r="C2" s="110"/>
      <c r="D2" s="110"/>
      <c r="E2" s="110"/>
      <c r="F2" s="110"/>
      <c r="G2" s="110"/>
      <c r="H2" s="110"/>
      <c r="I2" s="1"/>
    </row>
    <row r="3" spans="1:9" ht="15" customHeight="1" x14ac:dyDescent="0.25">
      <c r="A3" s="1"/>
      <c r="B3" s="110"/>
      <c r="C3" s="110"/>
      <c r="D3" s="110"/>
      <c r="E3" s="110"/>
      <c r="F3" s="110"/>
      <c r="G3" s="110"/>
      <c r="H3" s="110"/>
      <c r="I3" s="1"/>
    </row>
    <row r="4" spans="1:9" x14ac:dyDescent="0.25">
      <c r="A4" s="1"/>
      <c r="B4" s="125" t="s">
        <v>49</v>
      </c>
      <c r="C4" s="126"/>
      <c r="D4" s="126"/>
      <c r="E4" s="126"/>
      <c r="F4" s="126"/>
      <c r="G4" s="126"/>
      <c r="H4" s="127"/>
      <c r="I4" s="1"/>
    </row>
    <row r="5" spans="1:9" x14ac:dyDescent="0.25">
      <c r="A5" s="1"/>
      <c r="B5" s="128" t="s">
        <v>38</v>
      </c>
      <c r="C5" s="129"/>
      <c r="D5" s="129"/>
      <c r="E5" s="129"/>
      <c r="F5" s="130"/>
      <c r="G5" s="58">
        <v>53501163.982203498</v>
      </c>
      <c r="H5" s="14" t="s">
        <v>3</v>
      </c>
      <c r="I5" s="1"/>
    </row>
    <row r="6" spans="1:9" x14ac:dyDescent="0.25">
      <c r="A6" s="1"/>
      <c r="B6" s="128" t="s">
        <v>39</v>
      </c>
      <c r="C6" s="129"/>
      <c r="D6" s="129"/>
      <c r="E6" s="129"/>
      <c r="F6" s="130"/>
      <c r="G6" s="58">
        <f>G5*'Fane 13. Nøgletal'!C31</f>
        <v>1070023.27964407</v>
      </c>
      <c r="H6" s="14" t="s">
        <v>3</v>
      </c>
      <c r="I6" s="1"/>
    </row>
    <row r="7" spans="1:9" x14ac:dyDescent="0.25">
      <c r="A7" s="1"/>
      <c r="B7" s="69"/>
      <c r="C7" s="70"/>
      <c r="D7" s="70"/>
      <c r="E7" s="70"/>
      <c r="F7" s="70"/>
      <c r="G7" s="59"/>
      <c r="H7" s="19"/>
      <c r="I7" s="1"/>
    </row>
    <row r="8" spans="1:9" x14ac:dyDescent="0.25">
      <c r="A8" s="1"/>
      <c r="B8" s="1"/>
      <c r="C8" s="1"/>
      <c r="D8" s="1"/>
      <c r="E8" s="1"/>
      <c r="F8" s="1"/>
      <c r="G8" s="60"/>
      <c r="H8" s="1"/>
      <c r="I8" s="1"/>
    </row>
    <row r="9" spans="1:9" x14ac:dyDescent="0.25">
      <c r="A9" s="1"/>
      <c r="B9" s="125" t="s">
        <v>50</v>
      </c>
      <c r="C9" s="126"/>
      <c r="D9" s="126"/>
      <c r="E9" s="126"/>
      <c r="F9" s="126"/>
      <c r="G9" s="131"/>
      <c r="H9" s="127"/>
      <c r="I9" s="1"/>
    </row>
    <row r="10" spans="1:9" x14ac:dyDescent="0.25">
      <c r="A10" s="1"/>
      <c r="B10" s="128" t="s">
        <v>40</v>
      </c>
      <c r="C10" s="129"/>
      <c r="D10" s="129"/>
      <c r="E10" s="129"/>
      <c r="F10" s="130"/>
      <c r="G10" s="58">
        <f>(G5-G6)*(1+'Fane 13. Nøgletal'!C9)</f>
        <v>53097016.189481929</v>
      </c>
      <c r="H10" s="14" t="s">
        <v>3</v>
      </c>
      <c r="I10" s="1"/>
    </row>
    <row r="11" spans="1:9" x14ac:dyDescent="0.25">
      <c r="A11" s="1"/>
      <c r="B11" s="132" t="s">
        <v>41</v>
      </c>
      <c r="C11" s="133"/>
      <c r="D11" s="133"/>
      <c r="E11" s="133"/>
      <c r="F11" s="134"/>
      <c r="G11" s="58">
        <v>0</v>
      </c>
      <c r="H11" s="14" t="s">
        <v>3</v>
      </c>
      <c r="I11" s="1"/>
    </row>
    <row r="12" spans="1:9" x14ac:dyDescent="0.25">
      <c r="A12" s="1"/>
      <c r="B12" s="128" t="s">
        <v>42</v>
      </c>
      <c r="C12" s="129"/>
      <c r="D12" s="129"/>
      <c r="E12" s="129"/>
      <c r="F12" s="130"/>
      <c r="G12" s="58">
        <f>(G10+G11)*'Fane 13. Nøgletal'!C31</f>
        <v>1061940.3237896387</v>
      </c>
      <c r="H12" s="14" t="s">
        <v>3</v>
      </c>
      <c r="I12" s="1"/>
    </row>
    <row r="13" spans="1:9" x14ac:dyDescent="0.25">
      <c r="A13" s="1"/>
      <c r="B13" s="69"/>
      <c r="C13" s="70"/>
      <c r="D13" s="70"/>
      <c r="E13" s="70"/>
      <c r="F13" s="70"/>
      <c r="G13" s="59"/>
      <c r="H13" s="19"/>
      <c r="I13" s="1"/>
    </row>
    <row r="14" spans="1:9" x14ac:dyDescent="0.25">
      <c r="A14" s="1"/>
      <c r="B14" s="1"/>
      <c r="C14" s="1"/>
      <c r="D14" s="1"/>
      <c r="E14" s="1"/>
      <c r="F14" s="1"/>
      <c r="G14" s="60"/>
      <c r="H14" s="1"/>
      <c r="I14" s="1"/>
    </row>
    <row r="15" spans="1:9" x14ac:dyDescent="0.25">
      <c r="A15" s="1"/>
      <c r="B15" s="125" t="s">
        <v>51</v>
      </c>
      <c r="C15" s="126"/>
      <c r="D15" s="126"/>
      <c r="E15" s="126"/>
      <c r="F15" s="126"/>
      <c r="G15" s="131"/>
      <c r="H15" s="127"/>
      <c r="I15" s="1"/>
    </row>
    <row r="16" spans="1:9" x14ac:dyDescent="0.25">
      <c r="A16" s="1"/>
      <c r="B16" s="128" t="s">
        <v>43</v>
      </c>
      <c r="C16" s="129"/>
      <c r="D16" s="129"/>
      <c r="E16" s="129"/>
      <c r="F16" s="130"/>
      <c r="G16" s="58">
        <f>(G10+G11-G12)*(1+'Fane 13. Nøgletal'!C11)</f>
        <v>52914468.647822484</v>
      </c>
      <c r="H16" s="14" t="s">
        <v>3</v>
      </c>
      <c r="I16" s="1"/>
    </row>
    <row r="17" spans="1:9" x14ac:dyDescent="0.25">
      <c r="A17" s="1"/>
      <c r="B17" s="128" t="s">
        <v>108</v>
      </c>
      <c r="C17" s="129"/>
      <c r="D17" s="129"/>
      <c r="E17" s="129"/>
      <c r="F17" s="130"/>
      <c r="G17" s="58">
        <v>0</v>
      </c>
      <c r="H17" s="14" t="s">
        <v>3</v>
      </c>
      <c r="I17" s="1"/>
    </row>
    <row r="18" spans="1:9" x14ac:dyDescent="0.25">
      <c r="A18" s="1"/>
      <c r="B18" s="132" t="s">
        <v>44</v>
      </c>
      <c r="C18" s="133"/>
      <c r="D18" s="133"/>
      <c r="E18" s="133"/>
      <c r="F18" s="134"/>
      <c r="G18" s="58">
        <v>0</v>
      </c>
      <c r="H18" s="14" t="s">
        <v>3</v>
      </c>
      <c r="I18" s="1"/>
    </row>
    <row r="19" spans="1:9" x14ac:dyDescent="0.25">
      <c r="A19" s="1"/>
      <c r="B19" s="128" t="s">
        <v>45</v>
      </c>
      <c r="C19" s="129"/>
      <c r="D19" s="129"/>
      <c r="E19" s="129"/>
      <c r="F19" s="130"/>
      <c r="G19" s="58">
        <f>SUM(G16:G18)*'Fane 13. Nøgletal'!C31</f>
        <v>1058289.3729564496</v>
      </c>
      <c r="H19" s="14" t="s">
        <v>3</v>
      </c>
      <c r="I19" s="1"/>
    </row>
    <row r="20" spans="1:9" x14ac:dyDescent="0.25">
      <c r="A20" s="1"/>
      <c r="B20" s="69"/>
      <c r="C20" s="70"/>
      <c r="D20" s="70"/>
      <c r="E20" s="70"/>
      <c r="F20" s="70"/>
      <c r="G20" s="59"/>
      <c r="H20" s="19"/>
      <c r="I20" s="1"/>
    </row>
    <row r="21" spans="1:9" x14ac:dyDescent="0.25">
      <c r="A21" s="1"/>
      <c r="B21" s="1"/>
      <c r="C21" s="1"/>
      <c r="D21" s="1"/>
      <c r="E21" s="1"/>
      <c r="F21" s="1"/>
      <c r="G21" s="60"/>
      <c r="H21" s="1"/>
      <c r="I21" s="1"/>
    </row>
    <row r="22" spans="1:9" x14ac:dyDescent="0.25">
      <c r="A22" s="1"/>
      <c r="B22" s="125" t="s">
        <v>52</v>
      </c>
      <c r="C22" s="126"/>
      <c r="D22" s="126"/>
      <c r="E22" s="126"/>
      <c r="F22" s="126"/>
      <c r="G22" s="131"/>
      <c r="H22" s="127"/>
      <c r="I22" s="1"/>
    </row>
    <row r="23" spans="1:9" x14ac:dyDescent="0.25">
      <c r="A23" s="1"/>
      <c r="B23" s="128" t="s">
        <v>46</v>
      </c>
      <c r="C23" s="129"/>
      <c r="D23" s="129"/>
      <c r="E23" s="129"/>
      <c r="F23" s="130"/>
      <c r="G23" s="58">
        <f>(SUM(G16:G18)-G19)*(1+'Fane 13. Nøgletal'!C11)</f>
        <v>52732548.704611272</v>
      </c>
      <c r="H23" s="14" t="s">
        <v>3</v>
      </c>
      <c r="I23" s="1"/>
    </row>
    <row r="24" spans="1:9" x14ac:dyDescent="0.25">
      <c r="A24" s="1"/>
      <c r="B24" s="132" t="s">
        <v>47</v>
      </c>
      <c r="C24" s="133"/>
      <c r="D24" s="133"/>
      <c r="E24" s="133"/>
      <c r="F24" s="134"/>
      <c r="G24" s="58">
        <v>976045.96071873012</v>
      </c>
      <c r="H24" s="14" t="s">
        <v>3</v>
      </c>
      <c r="I24" s="1"/>
    </row>
    <row r="25" spans="1:9" x14ac:dyDescent="0.25">
      <c r="A25" s="1"/>
      <c r="B25" s="128" t="s">
        <v>48</v>
      </c>
      <c r="C25" s="129"/>
      <c r="D25" s="129"/>
      <c r="E25" s="129"/>
      <c r="F25" s="130"/>
      <c r="G25" s="58">
        <f>(G23+G24)*'Fane 13. Nøgletal'!C31</f>
        <v>1074171.8933065999</v>
      </c>
      <c r="H25" s="14" t="s">
        <v>3</v>
      </c>
      <c r="I25" s="1"/>
    </row>
    <row r="26" spans="1:9" x14ac:dyDescent="0.25">
      <c r="A26" s="1"/>
      <c r="B26" s="69"/>
      <c r="C26" s="70"/>
      <c r="D26" s="70"/>
      <c r="E26" s="70"/>
      <c r="F26" s="70"/>
      <c r="G26" s="59"/>
      <c r="H26" s="19"/>
      <c r="I26" s="1"/>
    </row>
    <row r="27" spans="1:9" x14ac:dyDescent="0.25">
      <c r="A27" s="1"/>
      <c r="B27" s="1"/>
      <c r="C27" s="1"/>
      <c r="D27" s="1"/>
      <c r="E27" s="1"/>
      <c r="F27" s="1"/>
      <c r="G27" s="60"/>
      <c r="H27" s="1"/>
      <c r="I27" s="1"/>
    </row>
    <row r="28" spans="1:9" x14ac:dyDescent="0.25">
      <c r="A28" s="1"/>
      <c r="B28" s="125" t="s">
        <v>132</v>
      </c>
      <c r="C28" s="126"/>
      <c r="D28" s="126"/>
      <c r="E28" s="126"/>
      <c r="F28" s="126"/>
      <c r="G28" s="131"/>
      <c r="H28" s="127"/>
      <c r="I28" s="1"/>
    </row>
    <row r="29" spans="1:9" x14ac:dyDescent="0.25">
      <c r="A29" s="1"/>
      <c r="B29" s="128" t="s">
        <v>55</v>
      </c>
      <c r="C29" s="129"/>
      <c r="D29" s="129"/>
      <c r="E29" s="129"/>
      <c r="F29" s="130"/>
      <c r="G29" s="58">
        <f>(G23+G24-G25)*(1+'Fane 13. Nøgletal'!C13)</f>
        <v>53276562.729842089</v>
      </c>
      <c r="H29" s="14" t="s">
        <v>3</v>
      </c>
      <c r="I29" s="1"/>
    </row>
    <row r="30" spans="1:9" x14ac:dyDescent="0.25">
      <c r="A30" s="1"/>
      <c r="B30" s="128" t="s">
        <v>121</v>
      </c>
      <c r="C30" s="129"/>
      <c r="D30" s="129"/>
      <c r="E30" s="129"/>
      <c r="F30" s="130"/>
      <c r="G30" s="58">
        <v>979447.17551435996</v>
      </c>
      <c r="H30" s="14" t="s">
        <v>3</v>
      </c>
      <c r="I30" s="1"/>
    </row>
    <row r="31" spans="1:9" x14ac:dyDescent="0.25">
      <c r="A31" s="1"/>
      <c r="B31" s="128" t="s">
        <v>126</v>
      </c>
      <c r="C31" s="129"/>
      <c r="D31" s="129"/>
      <c r="E31" s="129"/>
      <c r="F31" s="130"/>
      <c r="G31" s="58">
        <f>(G29+G30)*'Fane 13. Nøgletal'!C31</f>
        <v>1085120.198107129</v>
      </c>
      <c r="H31" s="14" t="s">
        <v>3</v>
      </c>
      <c r="I31" s="1"/>
    </row>
    <row r="32" spans="1:9" x14ac:dyDescent="0.25">
      <c r="A32" s="1"/>
      <c r="B32" s="69"/>
      <c r="C32" s="70"/>
      <c r="D32" s="70"/>
      <c r="E32" s="70"/>
      <c r="F32" s="70"/>
      <c r="G32" s="59"/>
      <c r="H32" s="19"/>
      <c r="I32" s="1"/>
    </row>
    <row r="33" spans="1:9" x14ac:dyDescent="0.25">
      <c r="A33" s="1"/>
      <c r="B33" s="1"/>
      <c r="C33" s="1"/>
      <c r="D33" s="1"/>
      <c r="E33" s="1"/>
      <c r="F33" s="1"/>
      <c r="G33" s="60"/>
      <c r="H33" s="1"/>
      <c r="I33" s="1"/>
    </row>
    <row r="34" spans="1:9" x14ac:dyDescent="0.25">
      <c r="A34" s="1"/>
      <c r="B34" s="125" t="s">
        <v>133</v>
      </c>
      <c r="C34" s="126"/>
      <c r="D34" s="126"/>
      <c r="E34" s="126"/>
      <c r="F34" s="126"/>
      <c r="G34" s="131"/>
      <c r="H34" s="127"/>
      <c r="I34" s="1"/>
    </row>
    <row r="35" spans="1:9" x14ac:dyDescent="0.25">
      <c r="A35" s="1"/>
      <c r="B35" s="128" t="s">
        <v>74</v>
      </c>
      <c r="C35" s="129"/>
      <c r="D35" s="129"/>
      <c r="E35" s="129"/>
      <c r="F35" s="130"/>
      <c r="G35" s="58">
        <f>(G29+G30-G31)*(1+'Fane 13. Nøgletal'!C13)</f>
        <v>53819574.561677761</v>
      </c>
      <c r="H35" s="14" t="s">
        <v>3</v>
      </c>
      <c r="I35" s="1"/>
    </row>
    <row r="36" spans="1:9" x14ac:dyDescent="0.25">
      <c r="A36" s="1"/>
      <c r="B36" s="128" t="s">
        <v>152</v>
      </c>
      <c r="C36" s="129"/>
      <c r="D36" s="129"/>
      <c r="E36" s="129"/>
      <c r="F36" s="130"/>
      <c r="G36" s="58">
        <f>('Fane 3. Omkostninger i ØR2022'!E8+'Fane 3. Omkostninger i ØR2022'!E10+'Fane 3. Omkostninger i ØR2022'!E12)*(1+'Fane 13. Nøgletal'!C14)</f>
        <v>1159648.9634393703</v>
      </c>
      <c r="H36" s="14" t="s">
        <v>3</v>
      </c>
      <c r="I36" s="1"/>
    </row>
    <row r="37" spans="1:9" x14ac:dyDescent="0.25">
      <c r="A37" s="1"/>
      <c r="B37" s="128" t="s">
        <v>134</v>
      </c>
      <c r="C37" s="129"/>
      <c r="D37" s="129"/>
      <c r="E37" s="129"/>
      <c r="F37" s="130"/>
      <c r="G37" s="58">
        <f>(G35+G36)*'Fane 13. Nøgletal'!C31</f>
        <v>1099584.4705023426</v>
      </c>
      <c r="H37" s="14" t="s">
        <v>3</v>
      </c>
      <c r="I37" s="1"/>
    </row>
    <row r="38" spans="1:9" x14ac:dyDescent="0.25">
      <c r="A38" s="1"/>
      <c r="B38" s="69"/>
      <c r="C38" s="70"/>
      <c r="D38" s="70"/>
      <c r="E38" s="70"/>
      <c r="F38" s="70"/>
      <c r="G38" s="59"/>
      <c r="H38" s="19"/>
      <c r="I38" s="1"/>
    </row>
    <row r="39" spans="1:9" x14ac:dyDescent="0.25">
      <c r="A39" s="1"/>
      <c r="B39" s="1"/>
      <c r="C39" s="1"/>
      <c r="D39" s="1"/>
      <c r="E39" s="1"/>
      <c r="F39" s="1"/>
      <c r="G39" s="60"/>
      <c r="H39" s="1"/>
      <c r="I39" s="1"/>
    </row>
    <row r="40" spans="1:9" x14ac:dyDescent="0.25">
      <c r="A40" s="1"/>
      <c r="B40" s="125" t="s">
        <v>198</v>
      </c>
      <c r="C40" s="126"/>
      <c r="D40" s="126"/>
      <c r="E40" s="126"/>
      <c r="F40" s="126"/>
      <c r="G40" s="131"/>
      <c r="H40" s="127"/>
      <c r="I40" s="1"/>
    </row>
    <row r="41" spans="1:9" x14ac:dyDescent="0.25">
      <c r="A41" s="1"/>
      <c r="B41" s="128" t="s">
        <v>73</v>
      </c>
      <c r="C41" s="129"/>
      <c r="D41" s="129"/>
      <c r="E41" s="129"/>
      <c r="F41" s="130"/>
      <c r="G41" s="58">
        <f>(G35+G36-G37)*(1+'Fane 13. Nøgletal'!C15)</f>
        <v>55797754.20495908</v>
      </c>
      <c r="H41" s="14" t="s">
        <v>3</v>
      </c>
      <c r="I41" s="1"/>
    </row>
    <row r="42" spans="1:9" x14ac:dyDescent="0.25">
      <c r="A42" s="1"/>
      <c r="B42" s="128" t="s">
        <v>197</v>
      </c>
      <c r="C42" s="129"/>
      <c r="D42" s="129"/>
      <c r="E42" s="129"/>
      <c r="F42" s="130"/>
      <c r="G42" s="58">
        <f>('Fane 2.1. Økonomisk ramme 2023'!C9+'Fane 2.1. Økonomisk ramme 2023'!C11+'Fane 2.1. Økonomisk ramme 2023'!C13)*(1+'Fane 13. Nøgletal'!C15)</f>
        <v>1294190.3344737603</v>
      </c>
      <c r="H42" s="14" t="s">
        <v>3</v>
      </c>
      <c r="I42" s="1"/>
    </row>
    <row r="43" spans="1:9" x14ac:dyDescent="0.25">
      <c r="A43" s="1"/>
      <c r="B43" s="128" t="s">
        <v>208</v>
      </c>
      <c r="C43" s="129"/>
      <c r="D43" s="129"/>
      <c r="E43" s="129"/>
      <c r="F43" s="130"/>
      <c r="G43" s="58">
        <f>(G41+G42)*'Fane 13. Nøgletal'!C31</f>
        <v>1141838.8907886569</v>
      </c>
      <c r="H43" s="14" t="s">
        <v>3</v>
      </c>
      <c r="I43" s="1"/>
    </row>
    <row r="44" spans="1:9" x14ac:dyDescent="0.25">
      <c r="A44" s="1"/>
      <c r="B44" s="69"/>
      <c r="C44" s="70"/>
      <c r="D44" s="70"/>
      <c r="E44" s="70"/>
      <c r="F44" s="70"/>
      <c r="G44" s="59"/>
      <c r="H44" s="19"/>
      <c r="I44" s="1"/>
    </row>
    <row r="45" spans="1:9" x14ac:dyDescent="0.25">
      <c r="A45" s="1"/>
      <c r="B45" s="1"/>
      <c r="C45" s="1"/>
      <c r="D45" s="1"/>
      <c r="E45" s="1"/>
      <c r="F45" s="1"/>
      <c r="G45" s="60"/>
      <c r="H45" s="1"/>
      <c r="I45" s="1"/>
    </row>
    <row r="46" spans="1:9" x14ac:dyDescent="0.25">
      <c r="A46" s="1"/>
      <c r="B46" s="125" t="s">
        <v>199</v>
      </c>
      <c r="C46" s="126"/>
      <c r="D46" s="126"/>
      <c r="E46" s="126"/>
      <c r="F46" s="126"/>
      <c r="G46" s="131"/>
      <c r="H46" s="127"/>
      <c r="I46" s="1"/>
    </row>
    <row r="47" spans="1:9" x14ac:dyDescent="0.25">
      <c r="A47" s="1"/>
      <c r="B47" s="128" t="s">
        <v>122</v>
      </c>
      <c r="C47" s="129"/>
      <c r="D47" s="129"/>
      <c r="E47" s="129"/>
      <c r="F47" s="130"/>
      <c r="G47" s="58">
        <f>(G41+G42-G43)*(1+'Fane 13. Nøgletal'!C15)</f>
        <v>57941929.409735918</v>
      </c>
      <c r="H47" s="14" t="s">
        <v>3</v>
      </c>
      <c r="I47" s="1"/>
    </row>
    <row r="48" spans="1:9" x14ac:dyDescent="0.25">
      <c r="A48" s="1"/>
      <c r="B48" s="128" t="s">
        <v>209</v>
      </c>
      <c r="C48" s="129"/>
      <c r="D48" s="129"/>
      <c r="E48" s="129"/>
      <c r="F48" s="130"/>
      <c r="G48" s="58">
        <f>(G47)*'Fane 13. Nøgletal'!C31</f>
        <v>1158838.5881947184</v>
      </c>
      <c r="H48" s="14" t="s">
        <v>3</v>
      </c>
      <c r="I48" s="1"/>
    </row>
    <row r="49" spans="1:9" x14ac:dyDescent="0.25">
      <c r="A49" s="1"/>
      <c r="B49" s="69"/>
      <c r="C49" s="70"/>
      <c r="D49" s="70"/>
      <c r="E49" s="70"/>
      <c r="F49" s="70"/>
      <c r="G49" s="59"/>
      <c r="H49" s="19"/>
      <c r="I49" s="1"/>
    </row>
    <row r="50" spans="1:9" x14ac:dyDescent="0.25">
      <c r="A50" s="1"/>
      <c r="B50" s="1"/>
      <c r="C50" s="1"/>
      <c r="D50" s="1"/>
      <c r="E50" s="1"/>
      <c r="F50" s="1"/>
      <c r="G50" s="60"/>
      <c r="H50" s="1"/>
      <c r="I50" s="1"/>
    </row>
    <row r="51" spans="1:9" x14ac:dyDescent="0.25">
      <c r="A51" s="1"/>
      <c r="B51" s="125" t="s">
        <v>145</v>
      </c>
      <c r="C51" s="126"/>
      <c r="D51" s="126"/>
      <c r="E51" s="126"/>
      <c r="F51" s="126"/>
      <c r="G51" s="131"/>
      <c r="H51" s="127"/>
      <c r="I51" s="1"/>
    </row>
    <row r="52" spans="1:9" x14ac:dyDescent="0.25">
      <c r="A52" s="1"/>
      <c r="B52" s="128" t="s">
        <v>146</v>
      </c>
      <c r="C52" s="129"/>
      <c r="D52" s="129"/>
      <c r="E52" s="129"/>
      <c r="F52" s="130"/>
      <c r="G52" s="58">
        <f>(G47-G48)*(1+'Fane 13. Nøgletal'!C15)</f>
        <v>58804568.854788065</v>
      </c>
      <c r="H52" s="14" t="s">
        <v>3</v>
      </c>
      <c r="I52" s="1"/>
    </row>
    <row r="53" spans="1:9" x14ac:dyDescent="0.25">
      <c r="A53" s="1"/>
      <c r="B53" s="128" t="s">
        <v>147</v>
      </c>
      <c r="C53" s="129"/>
      <c r="D53" s="129"/>
      <c r="E53" s="129"/>
      <c r="F53" s="130"/>
      <c r="G53" s="58">
        <f>(G52)*'Fane 13. Nøgletal'!C31</f>
        <v>1176091.3770957612</v>
      </c>
      <c r="H53" s="14" t="s">
        <v>3</v>
      </c>
      <c r="I53" s="1"/>
    </row>
    <row r="54" spans="1:9" x14ac:dyDescent="0.25">
      <c r="A54" s="1"/>
      <c r="B54" s="69"/>
      <c r="C54" s="70"/>
      <c r="D54" s="70"/>
      <c r="E54" s="70"/>
      <c r="F54" s="70"/>
      <c r="G54" s="59"/>
      <c r="H54" s="19"/>
      <c r="I54" s="1"/>
    </row>
    <row r="55" spans="1:9" x14ac:dyDescent="0.25">
      <c r="A55" s="1"/>
      <c r="B55" s="1"/>
      <c r="C55" s="1"/>
      <c r="D55" s="1"/>
      <c r="E55" s="1"/>
      <c r="F55" s="1"/>
      <c r="G55" s="60"/>
      <c r="H55" s="1"/>
      <c r="I55" s="1"/>
    </row>
    <row r="56" spans="1:9" x14ac:dyDescent="0.25">
      <c r="A56" s="1"/>
      <c r="B56" s="125" t="s">
        <v>174</v>
      </c>
      <c r="C56" s="126"/>
      <c r="D56" s="126"/>
      <c r="E56" s="126"/>
      <c r="F56" s="126"/>
      <c r="G56" s="131"/>
      <c r="H56" s="127"/>
      <c r="I56" s="1"/>
    </row>
    <row r="57" spans="1:9" x14ac:dyDescent="0.25">
      <c r="A57" s="1"/>
      <c r="B57" s="128" t="s">
        <v>175</v>
      </c>
      <c r="C57" s="129"/>
      <c r="D57" s="129"/>
      <c r="E57" s="129"/>
      <c r="F57" s="130"/>
      <c r="G57" s="58">
        <f>(G52-G53)*(1+'Fane 13. Nøgletal'!C15)</f>
        <v>59680051.275898159</v>
      </c>
      <c r="H57" s="14" t="s">
        <v>3</v>
      </c>
      <c r="I57" s="1"/>
    </row>
    <row r="58" spans="1:9" x14ac:dyDescent="0.25">
      <c r="A58" s="1"/>
      <c r="B58" s="128" t="s">
        <v>176</v>
      </c>
      <c r="C58" s="129"/>
      <c r="D58" s="129"/>
      <c r="E58" s="129"/>
      <c r="F58" s="130"/>
      <c r="G58" s="58">
        <f>(G57)*'Fane 13. Nøgletal'!C31</f>
        <v>1193601.0255179631</v>
      </c>
      <c r="H58" s="14" t="s">
        <v>3</v>
      </c>
      <c r="I58" s="1"/>
    </row>
    <row r="59" spans="1:9" x14ac:dyDescent="0.25">
      <c r="A59" s="1"/>
      <c r="B59" s="69"/>
      <c r="C59" s="70"/>
      <c r="D59" s="70"/>
      <c r="E59" s="70"/>
      <c r="F59" s="70"/>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4"/>
  <sheetViews>
    <sheetView showGridLines="0" view="pageLayout" zoomScaleNormal="120" workbookViewId="0"/>
  </sheetViews>
  <sheetFormatPr defaultColWidth="9.140625" defaultRowHeight="15" x14ac:dyDescent="0.25"/>
  <cols>
    <col min="1" max="1" width="6.28515625" style="2" customWidth="1"/>
    <col min="2" max="5" width="9.140625" style="2"/>
    <col min="6" max="6" width="18" style="2" customWidth="1"/>
    <col min="7" max="7" width="10.28515625" style="2" customWidth="1"/>
    <col min="8" max="8" width="8.5703125" style="2" customWidth="1"/>
    <col min="9" max="9" width="6" style="2" customWidth="1"/>
    <col min="10" max="16384" width="9.140625" style="2"/>
  </cols>
  <sheetData>
    <row r="1" spans="1:9" x14ac:dyDescent="0.25">
      <c r="A1" s="1"/>
      <c r="B1" s="135" t="s">
        <v>99</v>
      </c>
      <c r="C1" s="136"/>
      <c r="D1" s="136"/>
      <c r="E1" s="136"/>
      <c r="F1" s="136"/>
      <c r="G1" s="136"/>
      <c r="H1" s="136"/>
      <c r="I1" s="1"/>
    </row>
    <row r="2" spans="1:9" ht="19.899999999999999" customHeight="1" x14ac:dyDescent="0.25">
      <c r="A2" s="1"/>
      <c r="B2" s="136"/>
      <c r="C2" s="136"/>
      <c r="D2" s="136"/>
      <c r="E2" s="136"/>
      <c r="F2" s="136"/>
      <c r="G2" s="136"/>
      <c r="H2" s="136"/>
      <c r="I2" s="1"/>
    </row>
    <row r="3" spans="1:9" ht="15" customHeight="1" x14ac:dyDescent="0.25">
      <c r="A3" s="1"/>
      <c r="B3" s="137"/>
      <c r="C3" s="137"/>
      <c r="D3" s="137"/>
      <c r="E3" s="137"/>
      <c r="F3" s="137"/>
      <c r="G3" s="137"/>
      <c r="H3" s="137"/>
      <c r="I3" s="1"/>
    </row>
    <row r="4" spans="1:9" x14ac:dyDescent="0.25">
      <c r="A4" s="1"/>
      <c r="B4" s="125" t="s">
        <v>53</v>
      </c>
      <c r="C4" s="126"/>
      <c r="D4" s="126"/>
      <c r="E4" s="126"/>
      <c r="F4" s="126"/>
      <c r="G4" s="126"/>
      <c r="H4" s="127"/>
      <c r="I4" s="1"/>
    </row>
    <row r="5" spans="1:9" x14ac:dyDescent="0.25">
      <c r="A5" s="1"/>
      <c r="B5" s="128" t="s">
        <v>56</v>
      </c>
      <c r="C5" s="129"/>
      <c r="D5" s="129"/>
      <c r="E5" s="129"/>
      <c r="F5" s="130"/>
      <c r="G5" s="58">
        <v>107119430.78324479</v>
      </c>
      <c r="H5" s="14" t="s">
        <v>3</v>
      </c>
      <c r="I5" s="1"/>
    </row>
    <row r="6" spans="1:9" x14ac:dyDescent="0.25">
      <c r="A6" s="1"/>
      <c r="B6" s="128" t="s">
        <v>54</v>
      </c>
      <c r="C6" s="129"/>
      <c r="D6" s="129"/>
      <c r="E6" s="129"/>
      <c r="F6" s="130"/>
      <c r="G6" s="58">
        <f>G5*'Fane 13. Nøgletal'!C20</f>
        <v>974786.82012752758</v>
      </c>
      <c r="H6" s="14" t="s">
        <v>3</v>
      </c>
      <c r="I6" s="1"/>
    </row>
    <row r="7" spans="1:9" x14ac:dyDescent="0.25">
      <c r="A7" s="1"/>
      <c r="B7" s="69"/>
      <c r="C7" s="70"/>
      <c r="D7" s="70"/>
      <c r="E7" s="70"/>
      <c r="F7" s="70"/>
      <c r="G7" s="61"/>
      <c r="H7" s="19"/>
      <c r="I7" s="1"/>
    </row>
    <row r="8" spans="1:9" x14ac:dyDescent="0.25">
      <c r="A8" s="1"/>
      <c r="B8" s="1"/>
      <c r="C8" s="1"/>
      <c r="D8" s="1"/>
      <c r="E8" s="1"/>
      <c r="F8" s="1"/>
      <c r="G8" s="62"/>
      <c r="H8" s="1"/>
      <c r="I8" s="1"/>
    </row>
    <row r="9" spans="1:9" x14ac:dyDescent="0.25">
      <c r="A9" s="1"/>
      <c r="B9" s="125" t="s">
        <v>57</v>
      </c>
      <c r="C9" s="126"/>
      <c r="D9" s="126"/>
      <c r="E9" s="126"/>
      <c r="F9" s="126"/>
      <c r="G9" s="131"/>
      <c r="H9" s="127"/>
      <c r="I9" s="1"/>
    </row>
    <row r="10" spans="1:9" x14ac:dyDescent="0.25">
      <c r="A10" s="1"/>
      <c r="B10" s="128" t="s">
        <v>58</v>
      </c>
      <c r="C10" s="129"/>
      <c r="D10" s="129"/>
      <c r="E10" s="129"/>
      <c r="F10" s="130"/>
      <c r="G10" s="58">
        <f>(G5-G6)*(1+'Fane 13. Nøgletal'!C9)</f>
        <v>107492680.94144884</v>
      </c>
      <c r="H10" s="14" t="s">
        <v>3</v>
      </c>
      <c r="I10" s="1"/>
    </row>
    <row r="11" spans="1:9" x14ac:dyDescent="0.25">
      <c r="A11" s="1"/>
      <c r="B11" s="132" t="s">
        <v>59</v>
      </c>
      <c r="C11" s="133"/>
      <c r="D11" s="133"/>
      <c r="E11" s="133"/>
      <c r="F11" s="134"/>
      <c r="G11" s="63">
        <v>0</v>
      </c>
      <c r="H11" s="14" t="s">
        <v>3</v>
      </c>
      <c r="I11" s="1"/>
    </row>
    <row r="12" spans="1:9" x14ac:dyDescent="0.25">
      <c r="A12" s="1"/>
      <c r="B12" s="128" t="s">
        <v>60</v>
      </c>
      <c r="C12" s="129"/>
      <c r="D12" s="129"/>
      <c r="E12" s="129"/>
      <c r="F12" s="130"/>
      <c r="G12" s="58">
        <f>G10*'Fane 13. Nøgletal'!C20+G11*'Fane 13. Nøgletal'!C21</f>
        <v>978183.39656718448</v>
      </c>
      <c r="H12" s="14" t="s">
        <v>3</v>
      </c>
      <c r="I12" s="1"/>
    </row>
    <row r="13" spans="1:9" x14ac:dyDescent="0.25">
      <c r="A13" s="1"/>
      <c r="B13" s="69"/>
      <c r="C13" s="70"/>
      <c r="D13" s="70"/>
      <c r="E13" s="70"/>
      <c r="F13" s="70"/>
      <c r="G13" s="61"/>
      <c r="H13" s="19"/>
      <c r="I13" s="1"/>
    </row>
    <row r="14" spans="1:9" x14ac:dyDescent="0.25">
      <c r="A14" s="1"/>
      <c r="B14" s="1"/>
      <c r="C14" s="1"/>
      <c r="D14" s="1"/>
      <c r="E14" s="1"/>
      <c r="F14" s="1"/>
      <c r="G14" s="62"/>
      <c r="H14" s="1"/>
      <c r="I14" s="1"/>
    </row>
    <row r="15" spans="1:9" x14ac:dyDescent="0.25">
      <c r="A15" s="1"/>
      <c r="B15" s="125" t="s">
        <v>61</v>
      </c>
      <c r="C15" s="126"/>
      <c r="D15" s="126"/>
      <c r="E15" s="126"/>
      <c r="F15" s="126"/>
      <c r="G15" s="131"/>
      <c r="H15" s="127"/>
      <c r="I15" s="1"/>
    </row>
    <row r="16" spans="1:9" x14ac:dyDescent="0.25">
      <c r="A16" s="1"/>
      <c r="B16" s="128" t="s">
        <v>62</v>
      </c>
      <c r="C16" s="129"/>
      <c r="D16" s="129"/>
      <c r="E16" s="129"/>
      <c r="F16" s="130"/>
      <c r="G16" s="58">
        <f>(G10+G11-G12)*(1+'Fane 13. Nøgletal'!C11)</f>
        <v>108314592.55339015</v>
      </c>
      <c r="H16" s="14" t="s">
        <v>3</v>
      </c>
      <c r="I16" s="1"/>
    </row>
    <row r="17" spans="1:9" x14ac:dyDescent="0.25">
      <c r="A17" s="1"/>
      <c r="B17" s="128" t="s">
        <v>109</v>
      </c>
      <c r="C17" s="129"/>
      <c r="D17" s="129"/>
      <c r="E17" s="129"/>
      <c r="F17" s="130"/>
      <c r="G17" s="58">
        <v>223970.04631781884</v>
      </c>
      <c r="H17" s="14" t="s">
        <v>3</v>
      </c>
      <c r="I17" s="1"/>
    </row>
    <row r="18" spans="1:9" x14ac:dyDescent="0.25">
      <c r="A18" s="1"/>
      <c r="B18" s="132" t="s">
        <v>63</v>
      </c>
      <c r="C18" s="133"/>
      <c r="D18" s="133"/>
      <c r="E18" s="133"/>
      <c r="F18" s="134"/>
      <c r="G18" s="58">
        <v>2089656.4167189696</v>
      </c>
      <c r="H18" s="14" t="s">
        <v>3</v>
      </c>
      <c r="I18" s="1"/>
    </row>
    <row r="19" spans="1:9" x14ac:dyDescent="0.25">
      <c r="A19" s="1"/>
      <c r="B19" s="128" t="s">
        <v>64</v>
      </c>
      <c r="C19" s="129"/>
      <c r="D19" s="129"/>
      <c r="E19" s="129"/>
      <c r="F19" s="130"/>
      <c r="G19" s="58">
        <f>(G16+G17+G18)*'Fane 13. Nøgletal'!C22</f>
        <v>962465.50544291432</v>
      </c>
      <c r="H19" s="14" t="s">
        <v>3</v>
      </c>
      <c r="I19" s="1"/>
    </row>
    <row r="20" spans="1:9" x14ac:dyDescent="0.25">
      <c r="A20" s="1"/>
      <c r="B20" s="69"/>
      <c r="C20" s="70"/>
      <c r="D20" s="70"/>
      <c r="E20" s="70"/>
      <c r="F20" s="70"/>
      <c r="G20" s="61"/>
      <c r="H20" s="19"/>
      <c r="I20" s="1"/>
    </row>
    <row r="21" spans="1:9" x14ac:dyDescent="0.25">
      <c r="A21" s="1"/>
      <c r="B21" s="1"/>
      <c r="C21" s="1"/>
      <c r="D21" s="1"/>
      <c r="E21" s="1"/>
      <c r="F21" s="1"/>
      <c r="G21" s="62"/>
      <c r="H21" s="1"/>
      <c r="I21" s="1"/>
    </row>
    <row r="22" spans="1:9" x14ac:dyDescent="0.25">
      <c r="A22" s="1"/>
      <c r="B22" s="125" t="s">
        <v>65</v>
      </c>
      <c r="C22" s="126"/>
      <c r="D22" s="126"/>
      <c r="E22" s="126"/>
      <c r="F22" s="126"/>
      <c r="G22" s="131"/>
      <c r="H22" s="127"/>
      <c r="I22" s="1"/>
    </row>
    <row r="23" spans="1:9" x14ac:dyDescent="0.25">
      <c r="A23" s="1"/>
      <c r="B23" s="128" t="s">
        <v>66</v>
      </c>
      <c r="C23" s="129"/>
      <c r="D23" s="129"/>
      <c r="E23" s="129"/>
      <c r="F23" s="130"/>
      <c r="G23" s="58">
        <f>(SUM(G16:G18)-G19)*(1+'Fane 13. Nøgletal'!C11)</f>
        <v>111519104.74531963</v>
      </c>
      <c r="H23" s="14" t="s">
        <v>3</v>
      </c>
      <c r="I23" s="1"/>
    </row>
    <row r="24" spans="1:9" x14ac:dyDescent="0.25">
      <c r="A24" s="1"/>
      <c r="B24" s="132" t="s">
        <v>67</v>
      </c>
      <c r="C24" s="133"/>
      <c r="D24" s="133"/>
      <c r="E24" s="133"/>
      <c r="F24" s="134"/>
      <c r="G24" s="58">
        <v>1780566.50944561</v>
      </c>
      <c r="H24" s="14" t="s">
        <v>3</v>
      </c>
      <c r="I24" s="1"/>
    </row>
    <row r="25" spans="1:9" x14ac:dyDescent="0.25">
      <c r="A25" s="1"/>
      <c r="B25" s="128" t="s">
        <v>68</v>
      </c>
      <c r="C25" s="129"/>
      <c r="D25" s="129"/>
      <c r="E25" s="129"/>
      <c r="F25" s="130"/>
      <c r="G25" s="58">
        <f>G23*'Fane 13. Nøgletal'!C22+G24*'Fane 13. Nøgletal'!C23</f>
        <v>1020784.300152536</v>
      </c>
      <c r="H25" s="14" t="s">
        <v>3</v>
      </c>
      <c r="I25" s="1"/>
    </row>
    <row r="26" spans="1:9" x14ac:dyDescent="0.25">
      <c r="A26" s="1"/>
      <c r="B26" s="69"/>
      <c r="C26" s="70"/>
      <c r="D26" s="70"/>
      <c r="E26" s="70"/>
      <c r="F26" s="70"/>
      <c r="G26" s="61"/>
      <c r="H26" s="19"/>
      <c r="I26" s="1"/>
    </row>
    <row r="27" spans="1:9" x14ac:dyDescent="0.25">
      <c r="A27" s="1"/>
      <c r="B27" s="1"/>
      <c r="C27" s="1"/>
      <c r="D27" s="1"/>
      <c r="E27" s="1"/>
      <c r="F27" s="1"/>
      <c r="G27" s="62"/>
      <c r="H27" s="1"/>
      <c r="I27" s="1"/>
    </row>
    <row r="28" spans="1:9" x14ac:dyDescent="0.25">
      <c r="A28" s="1"/>
      <c r="B28" s="125" t="s">
        <v>130</v>
      </c>
      <c r="C28" s="126"/>
      <c r="D28" s="126"/>
      <c r="E28" s="126"/>
      <c r="F28" s="126"/>
      <c r="G28" s="131"/>
      <c r="H28" s="127"/>
      <c r="I28" s="1"/>
    </row>
    <row r="29" spans="1:9" x14ac:dyDescent="0.25">
      <c r="A29" s="1"/>
      <c r="B29" s="128" t="s">
        <v>69</v>
      </c>
      <c r="C29" s="129"/>
      <c r="D29" s="129"/>
      <c r="E29" s="129"/>
      <c r="F29" s="130"/>
      <c r="G29" s="58">
        <f>(G23+G24-G25)*(1+'Fane 13. Nøgletal'!C13)</f>
        <v>113648689.37545897</v>
      </c>
      <c r="H29" s="14" t="s">
        <v>3</v>
      </c>
      <c r="I29" s="1"/>
    </row>
    <row r="30" spans="1:9" x14ac:dyDescent="0.25">
      <c r="A30" s="1"/>
      <c r="B30" s="128" t="s">
        <v>123</v>
      </c>
      <c r="C30" s="129"/>
      <c r="D30" s="129"/>
      <c r="E30" s="129"/>
      <c r="F30" s="130"/>
      <c r="G30" s="58">
        <v>1782704.7361116</v>
      </c>
      <c r="H30" s="14" t="s">
        <v>3</v>
      </c>
      <c r="I30" s="1"/>
    </row>
    <row r="31" spans="1:9" x14ac:dyDescent="0.25">
      <c r="A31" s="1"/>
      <c r="B31" s="128" t="s">
        <v>131</v>
      </c>
      <c r="C31" s="129"/>
      <c r="D31" s="129"/>
      <c r="E31" s="129"/>
      <c r="F31" s="130"/>
      <c r="G31" s="58">
        <f>(G29+G30)*'Fane 13. Nøgletal'!C24</f>
        <v>3174363.3380681905</v>
      </c>
      <c r="H31" s="14" t="s">
        <v>3</v>
      </c>
      <c r="I31" s="1"/>
    </row>
    <row r="32" spans="1:9" x14ac:dyDescent="0.25">
      <c r="A32" s="1"/>
      <c r="B32" s="69"/>
      <c r="C32" s="70"/>
      <c r="D32" s="70"/>
      <c r="E32" s="70"/>
      <c r="F32" s="70"/>
      <c r="G32" s="61"/>
      <c r="H32" s="19"/>
      <c r="I32" s="1"/>
    </row>
    <row r="33" spans="1:9" x14ac:dyDescent="0.25">
      <c r="A33" s="1"/>
      <c r="B33" s="1"/>
      <c r="C33" s="1"/>
      <c r="D33" s="1"/>
      <c r="E33" s="1"/>
      <c r="F33" s="1"/>
      <c r="G33" s="62"/>
      <c r="H33" s="1"/>
      <c r="I33" s="1"/>
    </row>
    <row r="34" spans="1:9" x14ac:dyDescent="0.25">
      <c r="A34" s="1"/>
      <c r="B34" s="125" t="s">
        <v>135</v>
      </c>
      <c r="C34" s="126"/>
      <c r="D34" s="126"/>
      <c r="E34" s="126"/>
      <c r="F34" s="126"/>
      <c r="G34" s="131"/>
      <c r="H34" s="127"/>
      <c r="I34" s="1"/>
    </row>
    <row r="35" spans="1:9" x14ac:dyDescent="0.25">
      <c r="A35" s="1"/>
      <c r="B35" s="128" t="s">
        <v>72</v>
      </c>
      <c r="C35" s="129"/>
      <c r="D35" s="129"/>
      <c r="E35" s="129"/>
      <c r="F35" s="130"/>
      <c r="G35" s="58">
        <f>(G29+G30-G31)*(1+'Fane 13. Nøgletal'!C13)</f>
        <v>113626566.54893911</v>
      </c>
      <c r="H35" s="14" t="s">
        <v>3</v>
      </c>
      <c r="I35" s="1"/>
    </row>
    <row r="36" spans="1:9" x14ac:dyDescent="0.25">
      <c r="A36" s="1"/>
      <c r="B36" s="128" t="s">
        <v>141</v>
      </c>
      <c r="C36" s="129"/>
      <c r="D36" s="129"/>
      <c r="E36" s="129"/>
      <c r="F36" s="130"/>
      <c r="G36" s="58">
        <f>SUM('Fane 3. Omkostninger i ØR2022'!E9)*(1+'Fane 13. Nøgletal'!C14)</f>
        <v>592463.99135997007</v>
      </c>
      <c r="H36" s="14" t="s">
        <v>3</v>
      </c>
      <c r="I36" s="1"/>
    </row>
    <row r="37" spans="1:9" x14ac:dyDescent="0.25">
      <c r="A37" s="1"/>
      <c r="B37" s="128" t="s">
        <v>136</v>
      </c>
      <c r="C37" s="129"/>
      <c r="D37" s="129"/>
      <c r="E37" s="129"/>
      <c r="F37" s="130"/>
      <c r="G37" s="58">
        <f>G35*'Fane 13. Nøgletal'!C24+G36*'Fane 13. Nøgletal'!C25</f>
        <v>3133499.0471679531</v>
      </c>
      <c r="H37" s="14" t="s">
        <v>3</v>
      </c>
      <c r="I37" s="1"/>
    </row>
    <row r="38" spans="1:9" x14ac:dyDescent="0.25">
      <c r="A38" s="1"/>
      <c r="B38" s="69"/>
      <c r="C38" s="70"/>
      <c r="D38" s="70"/>
      <c r="E38" s="70"/>
      <c r="F38" s="70"/>
      <c r="G38" s="61"/>
      <c r="H38" s="19"/>
      <c r="I38" s="1"/>
    </row>
    <row r="39" spans="1:9" x14ac:dyDescent="0.25">
      <c r="A39" s="1"/>
      <c r="B39" s="1"/>
      <c r="C39" s="1"/>
      <c r="D39" s="1"/>
      <c r="E39" s="1"/>
      <c r="F39" s="1"/>
      <c r="G39" s="62"/>
      <c r="H39" s="1"/>
      <c r="I39" s="1"/>
    </row>
    <row r="40" spans="1:9" x14ac:dyDescent="0.25">
      <c r="A40" s="1"/>
      <c r="B40" s="125" t="s">
        <v>200</v>
      </c>
      <c r="C40" s="126"/>
      <c r="D40" s="126"/>
      <c r="E40" s="126"/>
      <c r="F40" s="126"/>
      <c r="G40" s="131"/>
      <c r="H40" s="127"/>
      <c r="I40" s="1"/>
    </row>
    <row r="41" spans="1:9" x14ac:dyDescent="0.25">
      <c r="A41" s="1"/>
      <c r="B41" s="128" t="s">
        <v>71</v>
      </c>
      <c r="C41" s="129"/>
      <c r="D41" s="129"/>
      <c r="E41" s="129"/>
      <c r="F41" s="130"/>
      <c r="G41" s="58">
        <f>(G35+G36-G37)*(1+'Fane 13. Nøgletal'!C15)</f>
        <v>115040176.4142866</v>
      </c>
      <c r="H41" s="14" t="s">
        <v>3</v>
      </c>
      <c r="I41" s="1"/>
    </row>
    <row r="42" spans="1:9" x14ac:dyDescent="0.25">
      <c r="A42" s="1"/>
      <c r="B42" s="128" t="s">
        <v>211</v>
      </c>
      <c r="C42" s="129"/>
      <c r="D42" s="129"/>
      <c r="E42" s="129"/>
      <c r="F42" s="130"/>
      <c r="G42" s="63">
        <f>SUM('Fane 2.1. Økonomisk ramme 2023'!C10+'Fane 2.1. Økonomisk ramme 2023'!C12+'Fane 2.1. Økonomisk ramme 2023'!C14)*(1+'Fane 13. Nøgletal'!C15)</f>
        <v>466981.24516272004</v>
      </c>
      <c r="H42" s="14" t="s">
        <v>3</v>
      </c>
      <c r="I42" s="1"/>
    </row>
    <row r="43" spans="1:9" x14ac:dyDescent="0.25">
      <c r="A43" s="1"/>
      <c r="B43" s="128" t="s">
        <v>70</v>
      </c>
      <c r="C43" s="129"/>
      <c r="D43" s="129"/>
      <c r="E43" s="129"/>
      <c r="F43" s="130"/>
      <c r="G43" s="58">
        <f>(G41+G42)*'Fane 13. Nøgletal'!C26</f>
        <v>0</v>
      </c>
      <c r="H43" s="14" t="s">
        <v>3</v>
      </c>
      <c r="I43" s="1"/>
    </row>
    <row r="44" spans="1:9" x14ac:dyDescent="0.25">
      <c r="A44" s="1"/>
      <c r="B44" s="69"/>
      <c r="C44" s="70"/>
      <c r="D44" s="70"/>
      <c r="E44" s="70"/>
      <c r="F44" s="70"/>
      <c r="G44" s="61"/>
      <c r="H44" s="19"/>
      <c r="I44" s="1"/>
    </row>
    <row r="45" spans="1:9" ht="12" customHeight="1" x14ac:dyDescent="0.25">
      <c r="A45" s="1"/>
      <c r="B45" s="1"/>
      <c r="C45" s="1"/>
      <c r="D45" s="1"/>
      <c r="E45" s="1"/>
      <c r="F45" s="1"/>
      <c r="G45" s="62"/>
      <c r="H45" s="1"/>
      <c r="I45" s="1"/>
    </row>
    <row r="46" spans="1:9" x14ac:dyDescent="0.25">
      <c r="A46" s="1"/>
      <c r="B46" s="125" t="s">
        <v>201</v>
      </c>
      <c r="C46" s="126"/>
      <c r="D46" s="126"/>
      <c r="E46" s="126"/>
      <c r="F46" s="126"/>
      <c r="G46" s="131"/>
      <c r="H46" s="127"/>
      <c r="I46" s="1"/>
    </row>
    <row r="47" spans="1:9" x14ac:dyDescent="0.25">
      <c r="A47" s="1"/>
      <c r="B47" s="128" t="s">
        <v>124</v>
      </c>
      <c r="C47" s="129"/>
      <c r="D47" s="129"/>
      <c r="E47" s="129"/>
      <c r="F47" s="130"/>
      <c r="G47" s="58">
        <f>(G41+G42-G43)*(1+'Fane 13. Nøgletal'!C15)</f>
        <v>119619212.47212572</v>
      </c>
      <c r="H47" s="14" t="s">
        <v>3</v>
      </c>
      <c r="I47" s="1"/>
    </row>
    <row r="48" spans="1:9" x14ac:dyDescent="0.25">
      <c r="A48" s="1"/>
      <c r="B48" s="128" t="s">
        <v>125</v>
      </c>
      <c r="C48" s="129"/>
      <c r="D48" s="129"/>
      <c r="E48" s="129"/>
      <c r="F48" s="130"/>
      <c r="G48" s="58">
        <f>(G47)*'Fane 13. Nøgletal'!C26</f>
        <v>0</v>
      </c>
      <c r="H48" s="14" t="s">
        <v>3</v>
      </c>
      <c r="I48" s="1"/>
    </row>
    <row r="49" spans="1:9" x14ac:dyDescent="0.25">
      <c r="A49" s="1"/>
      <c r="B49" s="69"/>
      <c r="C49" s="70"/>
      <c r="D49" s="70"/>
      <c r="E49" s="70"/>
      <c r="F49" s="70"/>
      <c r="G49" s="61"/>
      <c r="H49" s="19"/>
      <c r="I49" s="1"/>
    </row>
    <row r="50" spans="1:9" x14ac:dyDescent="0.25">
      <c r="A50" s="1"/>
      <c r="B50" s="1"/>
      <c r="C50" s="1"/>
      <c r="D50" s="1"/>
      <c r="E50" s="1"/>
      <c r="F50" s="1"/>
      <c r="G50" s="62"/>
      <c r="H50" s="1"/>
      <c r="I50" s="1"/>
    </row>
    <row r="51" spans="1:9" x14ac:dyDescent="0.25">
      <c r="A51" s="1"/>
      <c r="B51" s="125" t="s">
        <v>142</v>
      </c>
      <c r="C51" s="126"/>
      <c r="D51" s="126"/>
      <c r="E51" s="126"/>
      <c r="F51" s="126"/>
      <c r="G51" s="131"/>
      <c r="H51" s="127"/>
      <c r="I51" s="1"/>
    </row>
    <row r="52" spans="1:9" x14ac:dyDescent="0.25">
      <c r="A52" s="1"/>
      <c r="B52" s="128" t="s">
        <v>143</v>
      </c>
      <c r="C52" s="129"/>
      <c r="D52" s="129"/>
      <c r="E52" s="129"/>
      <c r="F52" s="130"/>
      <c r="G52" s="58">
        <f>(G47-G48)*(1+'Fane 13. Nøgletal'!C15)</f>
        <v>123877656.43613341</v>
      </c>
      <c r="H52" s="14" t="s">
        <v>3</v>
      </c>
      <c r="I52" s="1"/>
    </row>
    <row r="53" spans="1:9" x14ac:dyDescent="0.25">
      <c r="A53" s="1"/>
      <c r="B53" s="128" t="s">
        <v>144</v>
      </c>
      <c r="C53" s="129"/>
      <c r="D53" s="129"/>
      <c r="E53" s="129"/>
      <c r="F53" s="130"/>
      <c r="G53" s="58">
        <f>(G52)*'Fane 13. Nøgletal'!C26</f>
        <v>0</v>
      </c>
      <c r="H53" s="14" t="s">
        <v>3</v>
      </c>
      <c r="I53" s="1"/>
    </row>
    <row r="54" spans="1:9" x14ac:dyDescent="0.25">
      <c r="A54" s="1"/>
      <c r="B54" s="69"/>
      <c r="C54" s="70"/>
      <c r="D54" s="70"/>
      <c r="E54" s="70"/>
      <c r="F54" s="70"/>
      <c r="G54" s="61"/>
      <c r="H54" s="19"/>
      <c r="I54" s="1"/>
    </row>
    <row r="55" spans="1:9" x14ac:dyDescent="0.25">
      <c r="A55" s="1"/>
      <c r="B55" s="1"/>
      <c r="C55" s="1"/>
      <c r="D55" s="1"/>
      <c r="E55" s="1"/>
      <c r="F55" s="1"/>
      <c r="G55" s="62"/>
      <c r="H55" s="1"/>
      <c r="I55" s="1"/>
    </row>
    <row r="56" spans="1:9" x14ac:dyDescent="0.25">
      <c r="A56" s="1"/>
      <c r="B56" s="125" t="s">
        <v>177</v>
      </c>
      <c r="C56" s="126"/>
      <c r="D56" s="126"/>
      <c r="E56" s="126"/>
      <c r="F56" s="126"/>
      <c r="G56" s="131"/>
      <c r="H56" s="127"/>
      <c r="I56" s="1"/>
    </row>
    <row r="57" spans="1:9" x14ac:dyDescent="0.25">
      <c r="A57" s="1"/>
      <c r="B57" s="128" t="s">
        <v>178</v>
      </c>
      <c r="C57" s="129"/>
      <c r="D57" s="129"/>
      <c r="E57" s="129"/>
      <c r="F57" s="130"/>
      <c r="G57" s="58">
        <f>(G52-G53)*(1+'Fane 13. Nøgletal'!C15)</f>
        <v>128287701.00525977</v>
      </c>
      <c r="H57" s="14" t="s">
        <v>3</v>
      </c>
      <c r="I57" s="1"/>
    </row>
    <row r="58" spans="1:9" x14ac:dyDescent="0.25">
      <c r="A58" s="1"/>
      <c r="B58" s="128" t="s">
        <v>179</v>
      </c>
      <c r="C58" s="129"/>
      <c r="D58" s="129"/>
      <c r="E58" s="129"/>
      <c r="F58" s="130"/>
      <c r="G58" s="58">
        <f>(G57)*'Fane 13. Nøgletal'!C26</f>
        <v>0</v>
      </c>
      <c r="H58" s="14" t="s">
        <v>3</v>
      </c>
      <c r="I58" s="1"/>
    </row>
    <row r="59" spans="1:9" x14ac:dyDescent="0.25">
      <c r="A59" s="1"/>
      <c r="B59" s="69"/>
      <c r="C59" s="70"/>
      <c r="D59" s="70"/>
      <c r="E59" s="70"/>
      <c r="F59" s="70"/>
      <c r="G59" s="70"/>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sheetData>
  <sheetProtection algorithmName="SHA-512" hashValue="ZKMj/mmiYhtOBtvckZLJSp7tj1PUNocda9ldBxCgquLSKgEbnFZ+9Wx4zUu8TEuAPyYV3/o2E65ZmTuOCRYu7A==" saltValue="dDjTGx1tI7c4kGTxYdMauA=="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2" t="s">
        <v>82</v>
      </c>
      <c r="C3" s="102"/>
      <c r="D3" s="102"/>
      <c r="E3" s="102"/>
      <c r="F3" s="102"/>
      <c r="G3" s="102"/>
      <c r="H3" s="1"/>
    </row>
    <row r="4" spans="1:8" ht="15" customHeight="1" x14ac:dyDescent="0.25">
      <c r="A4" s="1"/>
      <c r="B4" s="102"/>
      <c r="C4" s="102"/>
      <c r="D4" s="102"/>
      <c r="E4" s="102"/>
      <c r="F4" s="102"/>
      <c r="G4" s="102"/>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5" t="s">
        <v>9</v>
      </c>
      <c r="C8" s="126"/>
      <c r="D8" s="126"/>
      <c r="E8" s="126"/>
      <c r="F8" s="126"/>
      <c r="G8" s="127"/>
      <c r="H8" s="1"/>
    </row>
    <row r="9" spans="1:8" x14ac:dyDescent="0.25">
      <c r="A9" s="1"/>
      <c r="B9" s="78" t="s">
        <v>180</v>
      </c>
      <c r="C9" s="79"/>
      <c r="D9" s="79"/>
      <c r="E9" s="79"/>
      <c r="F9" s="80"/>
      <c r="G9" s="28">
        <v>0.02</v>
      </c>
      <c r="H9" s="1"/>
    </row>
    <row r="10" spans="1:8" x14ac:dyDescent="0.25">
      <c r="A10" s="1"/>
      <c r="B10" s="69"/>
      <c r="C10" s="70"/>
      <c r="D10" s="70"/>
      <c r="E10" s="70"/>
      <c r="F10" s="70"/>
      <c r="G10" s="19"/>
      <c r="H10" s="1"/>
    </row>
    <row r="11" spans="1:8" x14ac:dyDescent="0.25">
      <c r="A11" s="1"/>
      <c r="B11" s="1"/>
      <c r="C11" s="1"/>
      <c r="D11" s="1"/>
      <c r="E11" s="1"/>
      <c r="F11" s="1"/>
      <c r="G11" s="1"/>
      <c r="H11" s="1"/>
    </row>
    <row r="12" spans="1:8" ht="31.5" customHeight="1" x14ac:dyDescent="0.25">
      <c r="A12" s="1"/>
      <c r="B12" s="138" t="s">
        <v>202</v>
      </c>
      <c r="C12" s="138"/>
      <c r="D12" s="138"/>
      <c r="E12" s="138"/>
      <c r="F12" s="138"/>
      <c r="G12" s="13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9rtcy/n2GovmH1H3cpNoiav41Iwwx3BAVEjq022gcevAAy5W9DsKZ5yqqaYCswyMHcfHXTu8b4gKyibO0B1AhA==" saltValue="fUKzRy5HzmhIEvoEuuODEQ=="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2022-12-09T09:00:11Z</dcterms:modified>
</cp:coreProperties>
</file>